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cturner/Desktop/"/>
    </mc:Choice>
  </mc:AlternateContent>
  <xr:revisionPtr revIDLastSave="0" documentId="8_{222ADA45-B6FC-7140-995E-49DC265D48A7}" xr6:coauthVersionLast="47" xr6:coauthVersionMax="47" xr10:uidLastSave="{00000000-0000-0000-0000-000000000000}"/>
  <bookViews>
    <workbookView xWindow="0" yWindow="500" windowWidth="28320" windowHeight="24760" xr2:uid="{00000000-000D-0000-FFFF-FFFF00000000}"/>
  </bookViews>
  <sheets>
    <sheet name="Readme" sheetId="5" r:id="rId1"/>
    <sheet name="Data" sheetId="1" r:id="rId2"/>
    <sheet name="Plots" sheetId="9" r:id="rId3"/>
    <sheet name="Plot_Data_Element_Size" sheetId="4" r:id="rId4"/>
    <sheet name="Plot_Data_Power" sheetId="6" r:id="rId5"/>
    <sheet name="Plot_Data_Integration" sheetId="8" r:id="rId6"/>
    <sheet name="Plot_data_time"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9" i="1" l="1"/>
  <c r="AF19" i="1"/>
  <c r="AG85" i="1"/>
  <c r="AF85" i="1"/>
  <c r="J152" i="1"/>
  <c r="L152" i="1"/>
  <c r="M152" i="1"/>
  <c r="R152" i="1"/>
  <c r="S152" i="1"/>
  <c r="T152" i="1"/>
  <c r="V152" i="1" s="1"/>
  <c r="U152" i="1"/>
  <c r="AH152" i="1"/>
  <c r="AI152" i="1" s="1"/>
  <c r="AL152" i="1"/>
  <c r="AO152" i="1"/>
  <c r="J151" i="1"/>
  <c r="AA151" i="1"/>
  <c r="L151" i="1"/>
  <c r="M151" i="1"/>
  <c r="R151" i="1"/>
  <c r="S151" i="1"/>
  <c r="T151" i="1"/>
  <c r="W151" i="1" s="1"/>
  <c r="U151" i="1"/>
  <c r="AH151" i="1"/>
  <c r="AL151" i="1"/>
  <c r="AO151" i="1"/>
  <c r="AG149" i="1"/>
  <c r="AH149" i="1" s="1"/>
  <c r="AI149" i="1" s="1"/>
  <c r="L150" i="1"/>
  <c r="J150" i="1" s="1"/>
  <c r="M150" i="1"/>
  <c r="R150" i="1"/>
  <c r="S150" i="1"/>
  <c r="T150" i="1"/>
  <c r="U150" i="1"/>
  <c r="AH150" i="1"/>
  <c r="AI150" i="1" s="1"/>
  <c r="AL150" i="1"/>
  <c r="AO150" i="1"/>
  <c r="L149" i="1"/>
  <c r="J149" i="1" s="1"/>
  <c r="M149" i="1"/>
  <c r="R149" i="1"/>
  <c r="S149" i="1"/>
  <c r="T149" i="1"/>
  <c r="U149" i="1"/>
  <c r="AL149" i="1"/>
  <c r="AO149" i="1"/>
  <c r="T148" i="1"/>
  <c r="V148" i="1" s="1"/>
  <c r="R148" i="1"/>
  <c r="L148" i="1"/>
  <c r="M148" i="1"/>
  <c r="S148" i="1"/>
  <c r="U148" i="1"/>
  <c r="AH148" i="1"/>
  <c r="AI148" i="1" s="1"/>
  <c r="AL148" i="1"/>
  <c r="AO148" i="1"/>
  <c r="W152" i="1" l="1"/>
  <c r="AI151" i="1"/>
  <c r="V151" i="1"/>
  <c r="J148" i="1"/>
  <c r="W150" i="1"/>
  <c r="V150" i="1"/>
  <c r="W149" i="1"/>
  <c r="V149" i="1"/>
  <c r="W148" i="1"/>
  <c r="AA3" i="6"/>
  <c r="AA4" i="6"/>
  <c r="AA5" i="6"/>
  <c r="AA6" i="6"/>
  <c r="AA7" i="6"/>
  <c r="AA8" i="6"/>
  <c r="AA9" i="6"/>
  <c r="AA10" i="6"/>
  <c r="AA11" i="6"/>
  <c r="AA12" i="6"/>
  <c r="AA13" i="6"/>
  <c r="AA15" i="6"/>
  <c r="AA16" i="6"/>
  <c r="AA17" i="6"/>
  <c r="AA18" i="6"/>
  <c r="AA20" i="6"/>
  <c r="AA21" i="6"/>
  <c r="AA22" i="6"/>
  <c r="AA26" i="6"/>
  <c r="AA27" i="6"/>
  <c r="AA28" i="6"/>
  <c r="AA29" i="6"/>
  <c r="AA30" i="6"/>
  <c r="AA31" i="6"/>
  <c r="AA32" i="6"/>
  <c r="AA33" i="6"/>
  <c r="AA34" i="6"/>
  <c r="AA35" i="6"/>
  <c r="AA36" i="6"/>
  <c r="AA37" i="6"/>
  <c r="AA38" i="6"/>
  <c r="AA39" i="6"/>
  <c r="AA40" i="6"/>
  <c r="AA41" i="6"/>
  <c r="AA42" i="6"/>
  <c r="AA44" i="6"/>
  <c r="AA45" i="6"/>
  <c r="AA46" i="6"/>
  <c r="AA47" i="6"/>
  <c r="AA53" i="6"/>
  <c r="AA54" i="6"/>
  <c r="AA55" i="6"/>
  <c r="AA58" i="6"/>
  <c r="AA59" i="6"/>
  <c r="AA60" i="6"/>
  <c r="AA61" i="6"/>
  <c r="AA62" i="6"/>
  <c r="AA65" i="6"/>
  <c r="AA66" i="6"/>
  <c r="AA70" i="6"/>
  <c r="AA71" i="6"/>
  <c r="AA72" i="6"/>
  <c r="AA73" i="6"/>
  <c r="AA74" i="6"/>
  <c r="AA75" i="6"/>
  <c r="AA76" i="6"/>
  <c r="AA77" i="6"/>
  <c r="AA78" i="6"/>
  <c r="AA79" i="6"/>
  <c r="AA81" i="6"/>
  <c r="AA82" i="6"/>
  <c r="AA83" i="6"/>
  <c r="AA84" i="6"/>
  <c r="AA86" i="6"/>
  <c r="AA87" i="6"/>
  <c r="AA88" i="6"/>
  <c r="AA89" i="6"/>
  <c r="AA90" i="6"/>
  <c r="AA91" i="6"/>
  <c r="AA92" i="6"/>
  <c r="AA93" i="6"/>
  <c r="AA94" i="6"/>
  <c r="AA97" i="6"/>
  <c r="AA98" i="6"/>
  <c r="AA100" i="6"/>
  <c r="AA101" i="6"/>
  <c r="AA102" i="6"/>
  <c r="AA104" i="6"/>
  <c r="AA105" i="6"/>
  <c r="AA106" i="6"/>
  <c r="AA107" i="6"/>
  <c r="AA110" i="6"/>
  <c r="AA111" i="6"/>
  <c r="AA112" i="6"/>
  <c r="AA113" i="6"/>
  <c r="AA114" i="6"/>
  <c r="AA115" i="6"/>
  <c r="AA116" i="6"/>
  <c r="AA117" i="6"/>
  <c r="AA118" i="6"/>
  <c r="AA119" i="6"/>
  <c r="AA120" i="6"/>
  <c r="AA121" i="6"/>
  <c r="AA122" i="6"/>
  <c r="AA123" i="6"/>
  <c r="AA124" i="6"/>
  <c r="AA125" i="6"/>
  <c r="AA126" i="6"/>
  <c r="AA127" i="6"/>
  <c r="AA128" i="6"/>
  <c r="AA129" i="6"/>
  <c r="AA130" i="6"/>
  <c r="AA131" i="6"/>
  <c r="AA132" i="6"/>
  <c r="AA134" i="6"/>
  <c r="AA135" i="6"/>
  <c r="AA137" i="6"/>
  <c r="AA138" i="6"/>
  <c r="AA139" i="6"/>
  <c r="AA141" i="6"/>
  <c r="AA142" i="6"/>
  <c r="AA143" i="6"/>
  <c r="AA144" i="6"/>
  <c r="AA145" i="6"/>
  <c r="AA146" i="6"/>
  <c r="AA147" i="6"/>
  <c r="Z3" i="6"/>
  <c r="Z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3" i="6"/>
  <c r="Z134" i="6"/>
  <c r="Z135" i="6"/>
  <c r="Z136" i="6"/>
  <c r="Z137" i="6"/>
  <c r="Z138" i="6"/>
  <c r="Z139" i="6"/>
  <c r="Z140" i="6"/>
  <c r="Z141" i="6"/>
  <c r="Z142" i="6"/>
  <c r="Z143" i="6"/>
  <c r="Z144" i="6"/>
  <c r="Z145" i="6"/>
  <c r="Z146" i="6"/>
  <c r="Z147" i="6"/>
  <c r="Y3" i="6"/>
  <c r="Y4" i="6"/>
  <c r="Y5" i="6"/>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40" i="6"/>
  <c r="Y41" i="6"/>
  <c r="Y42" i="6"/>
  <c r="Y43" i="6"/>
  <c r="Y44" i="6"/>
  <c r="Y45" i="6"/>
  <c r="Y46" i="6"/>
  <c r="Y47" i="6"/>
  <c r="Y48" i="6"/>
  <c r="Y49" i="6"/>
  <c r="Y50" i="6"/>
  <c r="Y51" i="6"/>
  <c r="Y52" i="6"/>
  <c r="Y53" i="6"/>
  <c r="Y56" i="6"/>
  <c r="Y57" i="6"/>
  <c r="Y60" i="6"/>
  <c r="Y61" i="6"/>
  <c r="Y62" i="6"/>
  <c r="Y63" i="6"/>
  <c r="Y64" i="6"/>
  <c r="Y65" i="6"/>
  <c r="Y66" i="6"/>
  <c r="Y67" i="6"/>
  <c r="Y68" i="6"/>
  <c r="Y69" i="6"/>
  <c r="Y70" i="6"/>
  <c r="Y71" i="6"/>
  <c r="Y72" i="6"/>
  <c r="Y73" i="6"/>
  <c r="Y74" i="6"/>
  <c r="Y75" i="6"/>
  <c r="Y76" i="6"/>
  <c r="Y78" i="6"/>
  <c r="Y79" i="6"/>
  <c r="Y80" i="6"/>
  <c r="Y81" i="6"/>
  <c r="Y82" i="6"/>
  <c r="Y83" i="6"/>
  <c r="Y84" i="6"/>
  <c r="Y85" i="6"/>
  <c r="Y86" i="6"/>
  <c r="Y87" i="6"/>
  <c r="Y88" i="6"/>
  <c r="Y89" i="6"/>
  <c r="Y91" i="6"/>
  <c r="Y92" i="6"/>
  <c r="Y93" i="6"/>
  <c r="Y94" i="6"/>
  <c r="Y95" i="6"/>
  <c r="Y96" i="6"/>
  <c r="Y99" i="6"/>
  <c r="Y102" i="6"/>
  <c r="Y103" i="6"/>
  <c r="Y104" i="6"/>
  <c r="Y105" i="6"/>
  <c r="Y106" i="6"/>
  <c r="Y107" i="6"/>
  <c r="Y108" i="6"/>
  <c r="Y109" i="6"/>
  <c r="Y110" i="6"/>
  <c r="Y111" i="6"/>
  <c r="Y112" i="6"/>
  <c r="Y115" i="6"/>
  <c r="Y116" i="6"/>
  <c r="Y117" i="6"/>
  <c r="Y118" i="6"/>
  <c r="Y119" i="6"/>
  <c r="Y120" i="6"/>
  <c r="Y121" i="6"/>
  <c r="Y122" i="6"/>
  <c r="Y123" i="6"/>
  <c r="Y124" i="6"/>
  <c r="Y125" i="6"/>
  <c r="Y126" i="6"/>
  <c r="Y127" i="6"/>
  <c r="Y128" i="6"/>
  <c r="Y130" i="6"/>
  <c r="Y131" i="6"/>
  <c r="Y132" i="6"/>
  <c r="Y133" i="6"/>
  <c r="Y135" i="6"/>
  <c r="Y136" i="6"/>
  <c r="Y137" i="6"/>
  <c r="Y138" i="6"/>
  <c r="Y139" i="6"/>
  <c r="Y140" i="6"/>
  <c r="Y141" i="6"/>
  <c r="Y142" i="6"/>
  <c r="Y143" i="6"/>
  <c r="Y144" i="6"/>
  <c r="Y145" i="6"/>
  <c r="Y147" i="6"/>
  <c r="X3" i="6"/>
  <c r="X4" i="6"/>
  <c r="X5" i="6"/>
  <c r="X6" i="6"/>
  <c r="X7" i="6"/>
  <c r="X8" i="6"/>
  <c r="X9" i="6"/>
  <c r="X10" i="6"/>
  <c r="X13" i="6"/>
  <c r="X14" i="6"/>
  <c r="X15" i="6"/>
  <c r="X16" i="6"/>
  <c r="X18" i="6"/>
  <c r="X19" i="6"/>
  <c r="X20" i="6"/>
  <c r="X21" i="6"/>
  <c r="X22" i="6"/>
  <c r="X23" i="6"/>
  <c r="X24" i="6"/>
  <c r="X25" i="6"/>
  <c r="X26" i="6"/>
  <c r="X28" i="6"/>
  <c r="X29" i="6"/>
  <c r="X30" i="6"/>
  <c r="X31" i="6"/>
  <c r="X34" i="6"/>
  <c r="X35" i="6"/>
  <c r="X38" i="6"/>
  <c r="X39" i="6"/>
  <c r="X40" i="6"/>
  <c r="X41" i="6"/>
  <c r="X42" i="6"/>
  <c r="X43" i="6"/>
  <c r="X44" i="6"/>
  <c r="X45" i="6"/>
  <c r="X46" i="6"/>
  <c r="X48" i="6"/>
  <c r="X49" i="6"/>
  <c r="X50" i="6"/>
  <c r="X51" i="6"/>
  <c r="X52"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2" i="6"/>
  <c r="X113" i="6"/>
  <c r="X114" i="6"/>
  <c r="X115" i="6"/>
  <c r="X116" i="6"/>
  <c r="X117" i="6"/>
  <c r="X118" i="6"/>
  <c r="X119" i="6"/>
  <c r="X120" i="6"/>
  <c r="X121" i="6"/>
  <c r="X122" i="6"/>
  <c r="X123" i="6"/>
  <c r="X124" i="6"/>
  <c r="X125" i="6"/>
  <c r="X126" i="6"/>
  <c r="X127" i="6"/>
  <c r="X128" i="6"/>
  <c r="X129" i="6"/>
  <c r="X130" i="6"/>
  <c r="X132" i="6"/>
  <c r="X133" i="6"/>
  <c r="X134" i="6"/>
  <c r="X135" i="6"/>
  <c r="X136" i="6"/>
  <c r="X137" i="6"/>
  <c r="X140" i="6"/>
  <c r="X141" i="6"/>
  <c r="X142" i="6"/>
  <c r="X143" i="6"/>
  <c r="X144" i="6"/>
  <c r="X145" i="6"/>
  <c r="X146" i="6"/>
  <c r="X147" i="6"/>
  <c r="W6" i="6"/>
  <c r="W7" i="6"/>
  <c r="W8" i="6"/>
  <c r="W9" i="6"/>
  <c r="W11" i="6"/>
  <c r="W12" i="6"/>
  <c r="W13" i="6"/>
  <c r="W14" i="6"/>
  <c r="W17" i="6"/>
  <c r="W18" i="6"/>
  <c r="W19" i="6"/>
  <c r="W22" i="6"/>
  <c r="W23" i="6"/>
  <c r="W24" i="6"/>
  <c r="W25" i="6"/>
  <c r="W27" i="6"/>
  <c r="W28" i="6"/>
  <c r="W29" i="6"/>
  <c r="W30" i="6"/>
  <c r="W32" i="6"/>
  <c r="W33" i="6"/>
  <c r="W35" i="6"/>
  <c r="W36" i="6"/>
  <c r="W37" i="6"/>
  <c r="W38" i="6"/>
  <c r="W39" i="6"/>
  <c r="W40" i="6"/>
  <c r="W41" i="6"/>
  <c r="W43" i="6"/>
  <c r="W44" i="6"/>
  <c r="W45" i="6"/>
  <c r="W46" i="6"/>
  <c r="W47" i="6"/>
  <c r="W48" i="6"/>
  <c r="W49" i="6"/>
  <c r="W50" i="6"/>
  <c r="W51" i="6"/>
  <c r="W52" i="6"/>
  <c r="W53" i="6"/>
  <c r="W54" i="6"/>
  <c r="W55" i="6"/>
  <c r="W56" i="6"/>
  <c r="W57" i="6"/>
  <c r="W58" i="6"/>
  <c r="W59" i="6"/>
  <c r="W60" i="6"/>
  <c r="W61" i="6"/>
  <c r="W62" i="6"/>
  <c r="W63" i="6"/>
  <c r="W64" i="6"/>
  <c r="W65" i="6"/>
  <c r="W66" i="6"/>
  <c r="W67" i="6"/>
  <c r="W68" i="6"/>
  <c r="W69" i="6"/>
  <c r="W71" i="6"/>
  <c r="W72" i="6"/>
  <c r="W73" i="6"/>
  <c r="W74" i="6"/>
  <c r="W75" i="6"/>
  <c r="W76" i="6"/>
  <c r="W77" i="6"/>
  <c r="W78" i="6"/>
  <c r="W79" i="6"/>
  <c r="W80" i="6"/>
  <c r="W81" i="6"/>
  <c r="W82" i="6"/>
  <c r="W83" i="6"/>
  <c r="W85" i="6"/>
  <c r="W86" i="6"/>
  <c r="W87"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2" i="6"/>
  <c r="W123" i="6"/>
  <c r="W124" i="6"/>
  <c r="W125" i="6"/>
  <c r="W126" i="6"/>
  <c r="W127" i="6"/>
  <c r="W128" i="6"/>
  <c r="W129" i="6"/>
  <c r="W130" i="6"/>
  <c r="W131" i="6"/>
  <c r="W132" i="6"/>
  <c r="W133" i="6"/>
  <c r="W134" i="6"/>
  <c r="W135" i="6"/>
  <c r="W136" i="6"/>
  <c r="W137" i="6"/>
  <c r="W138" i="6"/>
  <c r="W139" i="6"/>
  <c r="W140" i="6"/>
  <c r="W141" i="6"/>
  <c r="W142" i="6"/>
  <c r="W143" i="6"/>
  <c r="W144" i="6"/>
  <c r="W145" i="6"/>
  <c r="W146" i="6"/>
  <c r="W147" i="6"/>
  <c r="V3" i="6"/>
  <c r="V4" i="6"/>
  <c r="V5" i="6"/>
  <c r="V6" i="6"/>
  <c r="V9" i="6"/>
  <c r="V10" i="6"/>
  <c r="V11" i="6"/>
  <c r="V12" i="6"/>
  <c r="V14" i="6"/>
  <c r="V15" i="6"/>
  <c r="V16" i="6"/>
  <c r="V17" i="6"/>
  <c r="V19" i="6"/>
  <c r="V20" i="6"/>
  <c r="V21" i="6"/>
  <c r="V23" i="6"/>
  <c r="V24" i="6"/>
  <c r="V25" i="6"/>
  <c r="V26" i="6"/>
  <c r="V27" i="6"/>
  <c r="V31" i="6"/>
  <c r="V32" i="6"/>
  <c r="V33" i="6"/>
  <c r="V34" i="6"/>
  <c r="V36" i="6"/>
  <c r="V37" i="6"/>
  <c r="V39" i="6"/>
  <c r="V42" i="6"/>
  <c r="V43" i="6"/>
  <c r="V47" i="6"/>
  <c r="V48" i="6"/>
  <c r="V49" i="6"/>
  <c r="V50" i="6"/>
  <c r="V51" i="6"/>
  <c r="V52" i="6"/>
  <c r="V53" i="6"/>
  <c r="V54" i="6"/>
  <c r="V55" i="6"/>
  <c r="V56" i="6"/>
  <c r="V57" i="6"/>
  <c r="V58" i="6"/>
  <c r="V59" i="6"/>
  <c r="V63" i="6"/>
  <c r="V64" i="6"/>
  <c r="V65" i="6"/>
  <c r="V66" i="6"/>
  <c r="V67" i="6"/>
  <c r="V68" i="6"/>
  <c r="V69" i="6"/>
  <c r="V70" i="6"/>
  <c r="V71" i="6"/>
  <c r="V72" i="6"/>
  <c r="V74" i="6"/>
  <c r="V76" i="6"/>
  <c r="V77" i="6"/>
  <c r="V78" i="6"/>
  <c r="V79" i="6"/>
  <c r="V80" i="6"/>
  <c r="V82" i="6"/>
  <c r="V84" i="6"/>
  <c r="V85" i="6"/>
  <c r="V87" i="6"/>
  <c r="V88" i="6"/>
  <c r="V90" i="6"/>
  <c r="V95" i="6"/>
  <c r="V96" i="6"/>
  <c r="V97" i="6"/>
  <c r="V98" i="6"/>
  <c r="V99" i="6"/>
  <c r="V100" i="6"/>
  <c r="V101" i="6"/>
  <c r="V103" i="6"/>
  <c r="V104" i="6"/>
  <c r="V108" i="6"/>
  <c r="V109" i="6"/>
  <c r="V110" i="6"/>
  <c r="V111" i="6"/>
  <c r="V113" i="6"/>
  <c r="V114" i="6"/>
  <c r="V116" i="6"/>
  <c r="V121" i="6"/>
  <c r="V126" i="6"/>
  <c r="V129" i="6"/>
  <c r="V131" i="6"/>
  <c r="V132" i="6"/>
  <c r="V133" i="6"/>
  <c r="V134" i="6"/>
  <c r="V136" i="6"/>
  <c r="V138" i="6"/>
  <c r="V139" i="6"/>
  <c r="V140" i="6"/>
  <c r="V142" i="6"/>
  <c r="V146" i="6"/>
  <c r="U3" i="6"/>
  <c r="U4" i="6"/>
  <c r="U5" i="6"/>
  <c r="U6" i="6"/>
  <c r="U7" i="6"/>
  <c r="U8"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3" i="6"/>
  <c r="U75" i="6"/>
  <c r="U77" i="6"/>
  <c r="U80" i="6"/>
  <c r="U81" i="6"/>
  <c r="U83" i="6"/>
  <c r="U84" i="6"/>
  <c r="U85" i="6"/>
  <c r="U86" i="6"/>
  <c r="U88" i="6"/>
  <c r="U89" i="6"/>
  <c r="U90" i="6"/>
  <c r="U91" i="6"/>
  <c r="U92" i="6"/>
  <c r="U93" i="6"/>
  <c r="U94" i="6"/>
  <c r="U95" i="6"/>
  <c r="U96" i="6"/>
  <c r="U97" i="6"/>
  <c r="U98" i="6"/>
  <c r="U99" i="6"/>
  <c r="U100" i="6"/>
  <c r="U101" i="6"/>
  <c r="U102" i="6"/>
  <c r="U103" i="6"/>
  <c r="U105" i="6"/>
  <c r="U106" i="6"/>
  <c r="U107" i="6"/>
  <c r="U108" i="6"/>
  <c r="U109" i="6"/>
  <c r="U110" i="6"/>
  <c r="U111" i="6"/>
  <c r="U112" i="6"/>
  <c r="U113" i="6"/>
  <c r="U114" i="6"/>
  <c r="U115" i="6"/>
  <c r="U117" i="6"/>
  <c r="U118" i="6"/>
  <c r="U119" i="6"/>
  <c r="U120" i="6"/>
  <c r="U121" i="6"/>
  <c r="U122" i="6"/>
  <c r="U123" i="6"/>
  <c r="U124" i="6"/>
  <c r="U125" i="6"/>
  <c r="U127" i="6"/>
  <c r="U128" i="6"/>
  <c r="U129" i="6"/>
  <c r="U130" i="6"/>
  <c r="U131" i="6"/>
  <c r="U132" i="6"/>
  <c r="U133" i="6"/>
  <c r="U134" i="6"/>
  <c r="U135" i="6"/>
  <c r="U136" i="6"/>
  <c r="U137" i="6"/>
  <c r="U138" i="6"/>
  <c r="U139" i="6"/>
  <c r="U140" i="6"/>
  <c r="U141" i="6"/>
  <c r="U143" i="6"/>
  <c r="U144" i="6"/>
  <c r="U145" i="6"/>
  <c r="U146" i="6"/>
  <c r="U147" i="6"/>
  <c r="AA2" i="6"/>
  <c r="Z2" i="6"/>
  <c r="Y2" i="6"/>
  <c r="X2" i="6"/>
  <c r="V2" i="6"/>
  <c r="U2" i="6"/>
  <c r="L3" i="6"/>
  <c r="R3" i="6"/>
  <c r="R4" i="6"/>
  <c r="R5" i="6"/>
  <c r="R6" i="6"/>
  <c r="R7" i="6"/>
  <c r="R8" i="6"/>
  <c r="R9" i="6"/>
  <c r="R10" i="6"/>
  <c r="R11" i="6"/>
  <c r="R12" i="6"/>
  <c r="R13" i="6"/>
  <c r="R15" i="6"/>
  <c r="R16" i="6"/>
  <c r="R17" i="6"/>
  <c r="R18" i="6"/>
  <c r="R20" i="6"/>
  <c r="R21" i="6"/>
  <c r="R22" i="6"/>
  <c r="R26" i="6"/>
  <c r="R27" i="6"/>
  <c r="R28" i="6"/>
  <c r="R29" i="6"/>
  <c r="R30" i="6"/>
  <c r="R31" i="6"/>
  <c r="R32" i="6"/>
  <c r="R33" i="6"/>
  <c r="R34" i="6"/>
  <c r="R35" i="6"/>
  <c r="R36" i="6"/>
  <c r="R37" i="6"/>
  <c r="R38" i="6"/>
  <c r="R39" i="6"/>
  <c r="R40" i="6"/>
  <c r="R41" i="6"/>
  <c r="R42" i="6"/>
  <c r="R44" i="6"/>
  <c r="R45" i="6"/>
  <c r="R46" i="6"/>
  <c r="R47" i="6"/>
  <c r="R53" i="6"/>
  <c r="R54" i="6"/>
  <c r="R55" i="6"/>
  <c r="R58" i="6"/>
  <c r="R59" i="6"/>
  <c r="R60" i="6"/>
  <c r="R61" i="6"/>
  <c r="R62" i="6"/>
  <c r="R65" i="6"/>
  <c r="R66" i="6"/>
  <c r="R70" i="6"/>
  <c r="R71" i="6"/>
  <c r="R72" i="6"/>
  <c r="R73" i="6"/>
  <c r="R74" i="6"/>
  <c r="R75" i="6"/>
  <c r="R76" i="6"/>
  <c r="R77" i="6"/>
  <c r="R78" i="6"/>
  <c r="R79" i="6"/>
  <c r="R81" i="6"/>
  <c r="R82" i="6"/>
  <c r="R83" i="6"/>
  <c r="R84" i="6"/>
  <c r="R86" i="6"/>
  <c r="R87" i="6"/>
  <c r="R88" i="6"/>
  <c r="R89" i="6"/>
  <c r="R90" i="6"/>
  <c r="R91" i="6"/>
  <c r="R92" i="6"/>
  <c r="R93" i="6"/>
  <c r="R94" i="6"/>
  <c r="R97" i="6"/>
  <c r="R98" i="6"/>
  <c r="R100" i="6"/>
  <c r="R101" i="6"/>
  <c r="R102" i="6"/>
  <c r="R104" i="6"/>
  <c r="R105" i="6"/>
  <c r="R106" i="6"/>
  <c r="R107" i="6"/>
  <c r="R110" i="6"/>
  <c r="R111" i="6"/>
  <c r="R112" i="6"/>
  <c r="R113" i="6"/>
  <c r="R114" i="6"/>
  <c r="R115" i="6"/>
  <c r="R116" i="6"/>
  <c r="R117" i="6"/>
  <c r="R118" i="6"/>
  <c r="R119" i="6"/>
  <c r="R120" i="6"/>
  <c r="R121" i="6"/>
  <c r="R122" i="6"/>
  <c r="R123" i="6"/>
  <c r="R124" i="6"/>
  <c r="R125" i="6"/>
  <c r="R126" i="6"/>
  <c r="R127" i="6"/>
  <c r="R128" i="6"/>
  <c r="R129" i="6"/>
  <c r="R130" i="6"/>
  <c r="R131" i="6"/>
  <c r="R132" i="6"/>
  <c r="R134" i="6"/>
  <c r="R135" i="6"/>
  <c r="R137" i="6"/>
  <c r="R138" i="6"/>
  <c r="R139" i="6"/>
  <c r="R141" i="6"/>
  <c r="R142" i="6"/>
  <c r="R143" i="6"/>
  <c r="R144" i="6"/>
  <c r="R145" i="6"/>
  <c r="R146" i="6"/>
  <c r="R147" i="6"/>
  <c r="Q3" i="6"/>
  <c r="Q4" i="6"/>
  <c r="Q5" i="6"/>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3" i="6"/>
  <c r="Q134" i="6"/>
  <c r="Q135" i="6"/>
  <c r="Q136" i="6"/>
  <c r="Q137" i="6"/>
  <c r="Q138" i="6"/>
  <c r="Q139" i="6"/>
  <c r="Q140" i="6"/>
  <c r="Q141" i="6"/>
  <c r="Q142" i="6"/>
  <c r="Q143" i="6"/>
  <c r="Q144" i="6"/>
  <c r="Q145" i="6"/>
  <c r="Q146" i="6"/>
  <c r="Q147" i="6"/>
  <c r="P3" i="6"/>
  <c r="P4" i="6"/>
  <c r="P5"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40" i="6"/>
  <c r="P41" i="6"/>
  <c r="P42" i="6"/>
  <c r="P43" i="6"/>
  <c r="P44" i="6"/>
  <c r="P45" i="6"/>
  <c r="P46" i="6"/>
  <c r="P47" i="6"/>
  <c r="P48" i="6"/>
  <c r="P49" i="6"/>
  <c r="P50" i="6"/>
  <c r="P51" i="6"/>
  <c r="P52" i="6"/>
  <c r="P53" i="6"/>
  <c r="P56" i="6"/>
  <c r="P57" i="6"/>
  <c r="P60" i="6"/>
  <c r="P61" i="6"/>
  <c r="P62" i="6"/>
  <c r="P63" i="6"/>
  <c r="P64" i="6"/>
  <c r="P65" i="6"/>
  <c r="P66" i="6"/>
  <c r="P67" i="6"/>
  <c r="P68" i="6"/>
  <c r="P69" i="6"/>
  <c r="P70" i="6"/>
  <c r="P71" i="6"/>
  <c r="P72" i="6"/>
  <c r="P73" i="6"/>
  <c r="P74" i="6"/>
  <c r="P75" i="6"/>
  <c r="P76" i="6"/>
  <c r="P78" i="6"/>
  <c r="P79" i="6"/>
  <c r="P80" i="6"/>
  <c r="P81" i="6"/>
  <c r="P82" i="6"/>
  <c r="P83" i="6"/>
  <c r="P84" i="6"/>
  <c r="P85" i="6"/>
  <c r="P86" i="6"/>
  <c r="P87" i="6"/>
  <c r="P88" i="6"/>
  <c r="P89" i="6"/>
  <c r="P91" i="6"/>
  <c r="P92" i="6"/>
  <c r="P93" i="6"/>
  <c r="P94" i="6"/>
  <c r="P95" i="6"/>
  <c r="P96" i="6"/>
  <c r="P99" i="6"/>
  <c r="P102" i="6"/>
  <c r="P103" i="6"/>
  <c r="P104" i="6"/>
  <c r="P105" i="6"/>
  <c r="P106" i="6"/>
  <c r="P107" i="6"/>
  <c r="P108" i="6"/>
  <c r="P109" i="6"/>
  <c r="P110" i="6"/>
  <c r="P111" i="6"/>
  <c r="P112" i="6"/>
  <c r="P115" i="6"/>
  <c r="P116" i="6"/>
  <c r="P117" i="6"/>
  <c r="P118" i="6"/>
  <c r="P119" i="6"/>
  <c r="P120" i="6"/>
  <c r="P121" i="6"/>
  <c r="P122" i="6"/>
  <c r="P123" i="6"/>
  <c r="P124" i="6"/>
  <c r="P125" i="6"/>
  <c r="P126" i="6"/>
  <c r="P127" i="6"/>
  <c r="P128" i="6"/>
  <c r="P130" i="6"/>
  <c r="P131" i="6"/>
  <c r="P132" i="6"/>
  <c r="P133" i="6"/>
  <c r="P135" i="6"/>
  <c r="P136" i="6"/>
  <c r="P137" i="6"/>
  <c r="P138" i="6"/>
  <c r="P139" i="6"/>
  <c r="P140" i="6"/>
  <c r="P141" i="6"/>
  <c r="P142" i="6"/>
  <c r="P143" i="6"/>
  <c r="P144" i="6"/>
  <c r="P145" i="6"/>
  <c r="P147" i="6"/>
  <c r="O3" i="6"/>
  <c r="O4" i="6"/>
  <c r="O5" i="6"/>
  <c r="O6" i="6"/>
  <c r="O7" i="6"/>
  <c r="O8" i="6"/>
  <c r="O9" i="6"/>
  <c r="O10" i="6"/>
  <c r="O13" i="6"/>
  <c r="O14" i="6"/>
  <c r="O15" i="6"/>
  <c r="O16" i="6"/>
  <c r="O18" i="6"/>
  <c r="O19" i="6"/>
  <c r="O20" i="6"/>
  <c r="O21" i="6"/>
  <c r="O22" i="6"/>
  <c r="O23" i="6"/>
  <c r="O24" i="6"/>
  <c r="O25" i="6"/>
  <c r="O26" i="6"/>
  <c r="O28" i="6"/>
  <c r="O29" i="6"/>
  <c r="O30" i="6"/>
  <c r="O31" i="6"/>
  <c r="O34" i="6"/>
  <c r="O35" i="6"/>
  <c r="O38" i="6"/>
  <c r="O39" i="6"/>
  <c r="O40" i="6"/>
  <c r="O41" i="6"/>
  <c r="O42" i="6"/>
  <c r="O43" i="6"/>
  <c r="O44" i="6"/>
  <c r="O45" i="6"/>
  <c r="O46" i="6"/>
  <c r="O48" i="6"/>
  <c r="O49" i="6"/>
  <c r="O50" i="6"/>
  <c r="O51" i="6"/>
  <c r="O52"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2" i="6"/>
  <c r="O113" i="6"/>
  <c r="O114" i="6"/>
  <c r="O115" i="6"/>
  <c r="O116" i="6"/>
  <c r="O117" i="6"/>
  <c r="O118" i="6"/>
  <c r="O119" i="6"/>
  <c r="O120" i="6"/>
  <c r="O121" i="6"/>
  <c r="O122" i="6"/>
  <c r="O123" i="6"/>
  <c r="O124" i="6"/>
  <c r="O125" i="6"/>
  <c r="O126" i="6"/>
  <c r="O127" i="6"/>
  <c r="O128" i="6"/>
  <c r="O129" i="6"/>
  <c r="O130" i="6"/>
  <c r="O132" i="6"/>
  <c r="O133" i="6"/>
  <c r="O134" i="6"/>
  <c r="O135" i="6"/>
  <c r="O136" i="6"/>
  <c r="O137" i="6"/>
  <c r="O140" i="6"/>
  <c r="O141" i="6"/>
  <c r="O142" i="6"/>
  <c r="O143" i="6"/>
  <c r="O144" i="6"/>
  <c r="O145" i="6"/>
  <c r="O146" i="6"/>
  <c r="O147" i="6"/>
  <c r="N6" i="6"/>
  <c r="N7" i="6"/>
  <c r="N8" i="6"/>
  <c r="N9" i="6"/>
  <c r="N11" i="6"/>
  <c r="N12" i="6"/>
  <c r="N13" i="6"/>
  <c r="N14" i="6"/>
  <c r="N17" i="6"/>
  <c r="N18" i="6"/>
  <c r="N19" i="6"/>
  <c r="N22" i="6"/>
  <c r="N23" i="6"/>
  <c r="N24" i="6"/>
  <c r="N25" i="6"/>
  <c r="N27" i="6"/>
  <c r="N28" i="6"/>
  <c r="N29" i="6"/>
  <c r="N30" i="6"/>
  <c r="N32" i="6"/>
  <c r="N33" i="6"/>
  <c r="N35" i="6"/>
  <c r="N36" i="6"/>
  <c r="N37" i="6"/>
  <c r="N38" i="6"/>
  <c r="N39" i="6"/>
  <c r="N40" i="6"/>
  <c r="N41" i="6"/>
  <c r="N43" i="6"/>
  <c r="N44" i="6"/>
  <c r="N45" i="6"/>
  <c r="N46" i="6"/>
  <c r="N47" i="6"/>
  <c r="N48" i="6"/>
  <c r="N49" i="6"/>
  <c r="N50" i="6"/>
  <c r="N51" i="6"/>
  <c r="N52" i="6"/>
  <c r="N53" i="6"/>
  <c r="N54" i="6"/>
  <c r="N55" i="6"/>
  <c r="N56" i="6"/>
  <c r="N57" i="6"/>
  <c r="N58" i="6"/>
  <c r="N59" i="6"/>
  <c r="N60" i="6"/>
  <c r="N61" i="6"/>
  <c r="N62" i="6"/>
  <c r="N63" i="6"/>
  <c r="N64" i="6"/>
  <c r="N65" i="6"/>
  <c r="N66" i="6"/>
  <c r="N67" i="6"/>
  <c r="N68" i="6"/>
  <c r="N69" i="6"/>
  <c r="N71" i="6"/>
  <c r="N72" i="6"/>
  <c r="N73" i="6"/>
  <c r="N74" i="6"/>
  <c r="N75" i="6"/>
  <c r="N76" i="6"/>
  <c r="N77" i="6"/>
  <c r="N78" i="6"/>
  <c r="N79" i="6"/>
  <c r="N80" i="6"/>
  <c r="N81" i="6"/>
  <c r="N82" i="6"/>
  <c r="N83" i="6"/>
  <c r="N85" i="6"/>
  <c r="N86" i="6"/>
  <c r="N87"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M3" i="6"/>
  <c r="M4" i="6"/>
  <c r="M5" i="6"/>
  <c r="M6" i="6"/>
  <c r="M9" i="6"/>
  <c r="M10" i="6"/>
  <c r="M11" i="6"/>
  <c r="M12" i="6"/>
  <c r="M14" i="6"/>
  <c r="M15" i="6"/>
  <c r="M16" i="6"/>
  <c r="M17" i="6"/>
  <c r="M19" i="6"/>
  <c r="M20" i="6"/>
  <c r="M21" i="6"/>
  <c r="M23" i="6"/>
  <c r="M24" i="6"/>
  <c r="M25" i="6"/>
  <c r="M26" i="6"/>
  <c r="M27" i="6"/>
  <c r="M31" i="6"/>
  <c r="M32" i="6"/>
  <c r="M33" i="6"/>
  <c r="M34" i="6"/>
  <c r="M36" i="6"/>
  <c r="M37" i="6"/>
  <c r="M39" i="6"/>
  <c r="M42" i="6"/>
  <c r="M43" i="6"/>
  <c r="M47" i="6"/>
  <c r="M48" i="6"/>
  <c r="M49" i="6"/>
  <c r="M50" i="6"/>
  <c r="M51" i="6"/>
  <c r="M52" i="6"/>
  <c r="M53" i="6"/>
  <c r="M54" i="6"/>
  <c r="M55" i="6"/>
  <c r="M56" i="6"/>
  <c r="M57" i="6"/>
  <c r="M58" i="6"/>
  <c r="M59" i="6"/>
  <c r="M63" i="6"/>
  <c r="M64" i="6"/>
  <c r="M65" i="6"/>
  <c r="M66" i="6"/>
  <c r="M67" i="6"/>
  <c r="M68" i="6"/>
  <c r="M69" i="6"/>
  <c r="M70" i="6"/>
  <c r="M71" i="6"/>
  <c r="M72" i="6"/>
  <c r="M74" i="6"/>
  <c r="M76" i="6"/>
  <c r="M77" i="6"/>
  <c r="M78" i="6"/>
  <c r="M79" i="6"/>
  <c r="M80" i="6"/>
  <c r="M82" i="6"/>
  <c r="M84" i="6"/>
  <c r="M85" i="6"/>
  <c r="M87" i="6"/>
  <c r="M88" i="6"/>
  <c r="M90" i="6"/>
  <c r="M95" i="6"/>
  <c r="M96" i="6"/>
  <c r="M97" i="6"/>
  <c r="M98" i="6"/>
  <c r="M99" i="6"/>
  <c r="M100" i="6"/>
  <c r="M101" i="6"/>
  <c r="M103" i="6"/>
  <c r="M104" i="6"/>
  <c r="M108" i="6"/>
  <c r="M109" i="6"/>
  <c r="M110" i="6"/>
  <c r="M111" i="6"/>
  <c r="M113" i="6"/>
  <c r="M114" i="6"/>
  <c r="M116" i="6"/>
  <c r="M121" i="6"/>
  <c r="M126" i="6"/>
  <c r="M129" i="6"/>
  <c r="M131" i="6"/>
  <c r="M132" i="6"/>
  <c r="M133" i="6"/>
  <c r="M134" i="6"/>
  <c r="M136" i="6"/>
  <c r="M138" i="6"/>
  <c r="M139" i="6"/>
  <c r="M140" i="6"/>
  <c r="M142" i="6"/>
  <c r="M146" i="6"/>
  <c r="L4" i="6"/>
  <c r="L5" i="6"/>
  <c r="L6" i="6"/>
  <c r="L7" i="6"/>
  <c r="L8"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3" i="6"/>
  <c r="L75" i="6"/>
  <c r="L77" i="6"/>
  <c r="L80" i="6"/>
  <c r="L81" i="6"/>
  <c r="L83" i="6"/>
  <c r="L84" i="6"/>
  <c r="L85" i="6"/>
  <c r="L86" i="6"/>
  <c r="L88" i="6"/>
  <c r="L89" i="6"/>
  <c r="L90" i="6"/>
  <c r="L91" i="6"/>
  <c r="L92" i="6"/>
  <c r="L93" i="6"/>
  <c r="L94" i="6"/>
  <c r="L95" i="6"/>
  <c r="L96" i="6"/>
  <c r="L97" i="6"/>
  <c r="L98" i="6"/>
  <c r="L99" i="6"/>
  <c r="L100" i="6"/>
  <c r="L101" i="6"/>
  <c r="L102" i="6"/>
  <c r="L103" i="6"/>
  <c r="L105" i="6"/>
  <c r="L106" i="6"/>
  <c r="L107" i="6"/>
  <c r="L108" i="6"/>
  <c r="L109" i="6"/>
  <c r="L110" i="6"/>
  <c r="L111" i="6"/>
  <c r="L112" i="6"/>
  <c r="L113" i="6"/>
  <c r="L114" i="6"/>
  <c r="L115" i="6"/>
  <c r="L117" i="6"/>
  <c r="L118" i="6"/>
  <c r="L119" i="6"/>
  <c r="L120" i="6"/>
  <c r="L121" i="6"/>
  <c r="L122" i="6"/>
  <c r="L123" i="6"/>
  <c r="L124" i="6"/>
  <c r="L125" i="6"/>
  <c r="L127" i="6"/>
  <c r="L128" i="6"/>
  <c r="L129" i="6"/>
  <c r="L130" i="6"/>
  <c r="L131" i="6"/>
  <c r="L132" i="6"/>
  <c r="L133" i="6"/>
  <c r="L134" i="6"/>
  <c r="L135" i="6"/>
  <c r="L136" i="6"/>
  <c r="L137" i="6"/>
  <c r="L138" i="6"/>
  <c r="L139" i="6"/>
  <c r="L140" i="6"/>
  <c r="L141" i="6"/>
  <c r="L143" i="6"/>
  <c r="L144" i="6"/>
  <c r="L145" i="6"/>
  <c r="L146" i="6"/>
  <c r="L147" i="6"/>
  <c r="R2" i="6"/>
  <c r="Q2" i="6"/>
  <c r="P2" i="6"/>
  <c r="O2" i="6"/>
  <c r="M2" i="6"/>
  <c r="D3" i="6"/>
  <c r="D6" i="6"/>
  <c r="D10" i="6"/>
  <c r="D11" i="6"/>
  <c r="D12" i="6"/>
  <c r="D14" i="6"/>
  <c r="D15" i="6"/>
  <c r="D16" i="6"/>
  <c r="D20" i="6"/>
  <c r="D21" i="6"/>
  <c r="D31" i="6"/>
  <c r="D49" i="6"/>
  <c r="D52" i="6"/>
  <c r="D74" i="6"/>
  <c r="D75" i="6"/>
  <c r="D80" i="6"/>
  <c r="D99" i="6"/>
  <c r="D103" i="6"/>
  <c r="D107" i="6"/>
  <c r="D108" i="6"/>
  <c r="D109" i="6"/>
  <c r="D113" i="6"/>
  <c r="D129" i="6"/>
  <c r="D137" i="6"/>
  <c r="D140" i="6"/>
  <c r="C3" i="6"/>
  <c r="C4" i="6"/>
  <c r="C5" i="6"/>
  <c r="C6" i="6"/>
  <c r="C7" i="6"/>
  <c r="C8" i="6"/>
  <c r="C9" i="6"/>
  <c r="C10" i="6"/>
  <c r="C11" i="6"/>
  <c r="C12" i="6"/>
  <c r="C13" i="6"/>
  <c r="C14" i="6"/>
  <c r="C15" i="6"/>
  <c r="G15" i="6" s="1"/>
  <c r="W15" i="6" s="1"/>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G140" i="6" s="1"/>
  <c r="AA140" i="6" s="1"/>
  <c r="C141" i="6"/>
  <c r="C142" i="6"/>
  <c r="C143" i="6"/>
  <c r="C144" i="6"/>
  <c r="C145" i="6"/>
  <c r="C146" i="6"/>
  <c r="C147" i="6"/>
  <c r="A10" i="6"/>
  <c r="A14" i="6"/>
  <c r="A22" i="6"/>
  <c r="A48" i="6"/>
  <c r="A49" i="6"/>
  <c r="A52" i="6"/>
  <c r="A80" i="6"/>
  <c r="A103" i="6"/>
  <c r="A108" i="6"/>
  <c r="A109" i="6"/>
  <c r="A133" i="6"/>
  <c r="L2" i="6"/>
  <c r="C2" i="6"/>
  <c r="G103" i="6" l="1"/>
  <c r="AA103" i="6" s="1"/>
  <c r="G31" i="6"/>
  <c r="W31" i="6" s="1"/>
  <c r="G108" i="6"/>
  <c r="AA108" i="6" s="1"/>
  <c r="G52" i="6"/>
  <c r="AA52" i="6" s="1"/>
  <c r="G20" i="6"/>
  <c r="W20" i="6" s="1"/>
  <c r="G12" i="6"/>
  <c r="X12" i="6" s="1"/>
  <c r="F10" i="6"/>
  <c r="N10" i="6" s="1"/>
  <c r="G74" i="6"/>
  <c r="U74" i="6" s="1"/>
  <c r="G10" i="6"/>
  <c r="W10" i="6" s="1"/>
  <c r="F80" i="6"/>
  <c r="R80" i="6" s="1"/>
  <c r="F103" i="6"/>
  <c r="R103" i="6" s="1"/>
  <c r="F108" i="6"/>
  <c r="R108" i="6" s="1"/>
  <c r="F52" i="6"/>
  <c r="R52" i="6" s="1"/>
  <c r="G107" i="6"/>
  <c r="V107" i="6" s="1"/>
  <c r="G99" i="6"/>
  <c r="AA99" i="6" s="1"/>
  <c r="G75" i="6"/>
  <c r="V75" i="6" s="1"/>
  <c r="G11" i="6"/>
  <c r="X11" i="6" s="1"/>
  <c r="G3" i="6"/>
  <c r="W3" i="6" s="1"/>
  <c r="G80" i="6"/>
  <c r="AA80" i="6" s="1"/>
  <c r="G16" i="6"/>
  <c r="W16" i="6" s="1"/>
  <c r="G109" i="6"/>
  <c r="AA109" i="6" s="1"/>
  <c r="G21" i="6"/>
  <c r="W21" i="6" s="1"/>
  <c r="F109" i="6"/>
  <c r="R109" i="6" s="1"/>
  <c r="F14" i="6"/>
  <c r="R14" i="6" s="1"/>
  <c r="G14" i="6"/>
  <c r="AA14" i="6" s="1"/>
  <c r="G6" i="6"/>
  <c r="Y6" i="6" s="1"/>
  <c r="F49" i="6"/>
  <c r="R49" i="6" s="1"/>
  <c r="G137" i="6"/>
  <c r="V137" i="6" s="1"/>
  <c r="G129" i="6"/>
  <c r="Y129" i="6" s="1"/>
  <c r="G113" i="6"/>
  <c r="Y113" i="6" s="1"/>
  <c r="G49" i="6"/>
  <c r="AA49" i="6" s="1"/>
  <c r="AU3" i="7"/>
  <c r="AU4" i="7"/>
  <c r="AU5" i="7"/>
  <c r="AU6" i="7"/>
  <c r="AU7" i="7"/>
  <c r="AU8" i="7"/>
  <c r="AU9" i="7"/>
  <c r="AU10" i="7"/>
  <c r="AU11" i="7"/>
  <c r="AU12" i="7"/>
  <c r="AU13" i="7"/>
  <c r="AU14" i="7"/>
  <c r="AU15" i="7"/>
  <c r="AU16" i="7"/>
  <c r="AU17" i="7"/>
  <c r="AU19" i="7"/>
  <c r="AU20" i="7"/>
  <c r="AU21" i="7"/>
  <c r="AU22" i="7"/>
  <c r="AU23" i="7"/>
  <c r="AU24" i="7"/>
  <c r="AU25" i="7"/>
  <c r="AU26" i="7"/>
  <c r="AU27" i="7"/>
  <c r="AU28" i="7"/>
  <c r="AU29" i="7"/>
  <c r="AU30" i="7"/>
  <c r="AU31" i="7"/>
  <c r="AU32" i="7"/>
  <c r="AU33" i="7"/>
  <c r="AU34" i="7"/>
  <c r="AU35" i="7"/>
  <c r="AU36" i="7"/>
  <c r="AU37" i="7"/>
  <c r="AU38" i="7"/>
  <c r="AU39" i="7"/>
  <c r="AU40" i="7"/>
  <c r="AU41" i="7"/>
  <c r="AU42" i="7"/>
  <c r="AU43" i="7"/>
  <c r="AU44" i="7"/>
  <c r="AU45" i="7"/>
  <c r="AU46" i="7"/>
  <c r="AU47" i="7"/>
  <c r="AU48" i="7"/>
  <c r="AU49" i="7"/>
  <c r="AU50" i="7"/>
  <c r="AU51" i="7"/>
  <c r="AU52" i="7"/>
  <c r="AU53" i="7"/>
  <c r="AU54" i="7"/>
  <c r="AU55" i="7"/>
  <c r="AU56" i="7"/>
  <c r="AU57" i="7"/>
  <c r="AU58" i="7"/>
  <c r="AU59" i="7"/>
  <c r="AU60" i="7"/>
  <c r="AU61" i="7"/>
  <c r="AU62" i="7"/>
  <c r="AU63" i="7"/>
  <c r="AU64" i="7"/>
  <c r="AU65" i="7"/>
  <c r="AU66" i="7"/>
  <c r="AU67" i="7"/>
  <c r="AU68" i="7"/>
  <c r="AU69" i="7"/>
  <c r="AU70" i="7"/>
  <c r="AU71" i="7"/>
  <c r="AU72" i="7"/>
  <c r="AU73" i="7"/>
  <c r="AU74" i="7"/>
  <c r="AU75" i="7"/>
  <c r="AU76" i="7"/>
  <c r="AU77" i="7"/>
  <c r="AU78" i="7"/>
  <c r="AU79" i="7"/>
  <c r="AU80" i="7"/>
  <c r="AU81" i="7"/>
  <c r="AU82" i="7"/>
  <c r="AU83" i="7"/>
  <c r="AU84" i="7"/>
  <c r="AU85" i="7"/>
  <c r="AU87" i="7"/>
  <c r="AU88" i="7"/>
  <c r="AU89" i="7"/>
  <c r="AU90" i="7"/>
  <c r="AU91" i="7"/>
  <c r="AU92" i="7"/>
  <c r="AU93" i="7"/>
  <c r="AU94" i="7"/>
  <c r="AU95" i="7"/>
  <c r="AU96" i="7"/>
  <c r="AU97" i="7"/>
  <c r="AU98" i="7"/>
  <c r="AU100" i="7"/>
  <c r="AU101" i="7"/>
  <c r="AU102" i="7"/>
  <c r="AU103" i="7"/>
  <c r="AU104" i="7"/>
  <c r="AU105" i="7"/>
  <c r="AU106" i="7"/>
  <c r="AU107" i="7"/>
  <c r="AU108" i="7"/>
  <c r="AU109" i="7"/>
  <c r="AU110" i="7"/>
  <c r="AU111" i="7"/>
  <c r="AU112" i="7"/>
  <c r="AU113" i="7"/>
  <c r="AU114" i="7"/>
  <c r="AU115" i="7"/>
  <c r="AU116" i="7"/>
  <c r="AU117" i="7"/>
  <c r="AU118" i="7"/>
  <c r="AU119" i="7"/>
  <c r="AU120" i="7"/>
  <c r="AU121" i="7"/>
  <c r="AU122" i="7"/>
  <c r="AU123" i="7"/>
  <c r="AU124" i="7"/>
  <c r="AU125" i="7"/>
  <c r="AU126" i="7"/>
  <c r="AU127" i="7"/>
  <c r="AU128" i="7"/>
  <c r="AU129" i="7"/>
  <c r="AU130" i="7"/>
  <c r="AU131" i="7"/>
  <c r="AU132" i="7"/>
  <c r="AU133" i="7"/>
  <c r="AU134" i="7"/>
  <c r="AU135" i="7"/>
  <c r="AU136" i="7"/>
  <c r="AU137" i="7"/>
  <c r="AU138" i="7"/>
  <c r="AU139" i="7"/>
  <c r="AU141" i="7"/>
  <c r="AU142" i="7"/>
  <c r="AU143" i="7"/>
  <c r="AU145" i="7"/>
  <c r="AU146" i="7"/>
  <c r="AU147" i="7"/>
  <c r="AT3" i="7"/>
  <c r="AT4" i="7"/>
  <c r="AT5" i="7"/>
  <c r="AT6" i="7"/>
  <c r="AT7" i="7"/>
  <c r="AT8" i="7"/>
  <c r="AT9" i="7"/>
  <c r="AT10" i="7"/>
  <c r="AT11" i="7"/>
  <c r="AT12" i="7"/>
  <c r="AT13" i="7"/>
  <c r="AT14" i="7"/>
  <c r="AT15" i="7"/>
  <c r="AT16" i="7"/>
  <c r="AT17" i="7"/>
  <c r="AT18" i="7"/>
  <c r="AT19" i="7"/>
  <c r="AT20" i="7"/>
  <c r="AT21" i="7"/>
  <c r="AT22" i="7"/>
  <c r="AT23" i="7"/>
  <c r="AT24" i="7"/>
  <c r="AT25" i="7"/>
  <c r="AT26" i="7"/>
  <c r="AT27" i="7"/>
  <c r="AT28" i="7"/>
  <c r="AT29" i="7"/>
  <c r="AT30" i="7"/>
  <c r="AT31" i="7"/>
  <c r="AT32" i="7"/>
  <c r="AT33" i="7"/>
  <c r="AT34" i="7"/>
  <c r="AT35" i="7"/>
  <c r="AT36" i="7"/>
  <c r="AT37" i="7"/>
  <c r="AT38" i="7"/>
  <c r="AT39" i="7"/>
  <c r="AT40" i="7"/>
  <c r="AT41" i="7"/>
  <c r="AT42" i="7"/>
  <c r="AT43" i="7"/>
  <c r="AT44" i="7"/>
  <c r="AT45" i="7"/>
  <c r="AT46" i="7"/>
  <c r="AT47" i="7"/>
  <c r="AT48" i="7"/>
  <c r="AT49" i="7"/>
  <c r="AT50" i="7"/>
  <c r="AT51" i="7"/>
  <c r="AT52" i="7"/>
  <c r="AT53" i="7"/>
  <c r="AT54" i="7"/>
  <c r="AT55" i="7"/>
  <c r="AT56" i="7"/>
  <c r="AT57" i="7"/>
  <c r="AT58" i="7"/>
  <c r="AT59" i="7"/>
  <c r="AT60" i="7"/>
  <c r="AT61" i="7"/>
  <c r="AT62" i="7"/>
  <c r="AT63" i="7"/>
  <c r="AT64" i="7"/>
  <c r="AT65" i="7"/>
  <c r="AT66" i="7"/>
  <c r="AT67" i="7"/>
  <c r="AT68" i="7"/>
  <c r="AT69" i="7"/>
  <c r="AT70" i="7"/>
  <c r="AT71" i="7"/>
  <c r="AT72" i="7"/>
  <c r="AT73" i="7"/>
  <c r="AT74" i="7"/>
  <c r="AT75" i="7"/>
  <c r="AT76" i="7"/>
  <c r="AT77" i="7"/>
  <c r="AT78" i="7"/>
  <c r="AT79" i="7"/>
  <c r="AT80" i="7"/>
  <c r="AT81" i="7"/>
  <c r="AT82" i="7"/>
  <c r="AT83" i="7"/>
  <c r="AT84" i="7"/>
  <c r="AT85" i="7"/>
  <c r="AT86" i="7"/>
  <c r="AT87" i="7"/>
  <c r="AT88" i="7"/>
  <c r="AT89" i="7"/>
  <c r="AT90" i="7"/>
  <c r="AT91" i="7"/>
  <c r="AT92" i="7"/>
  <c r="AT93" i="7"/>
  <c r="AT94" i="7"/>
  <c r="AT95" i="7"/>
  <c r="AT96" i="7"/>
  <c r="AT97" i="7"/>
  <c r="AT98" i="7"/>
  <c r="AT99" i="7"/>
  <c r="AT100" i="7"/>
  <c r="AT101" i="7"/>
  <c r="AT102" i="7"/>
  <c r="AT103" i="7"/>
  <c r="AT104" i="7"/>
  <c r="AT105" i="7"/>
  <c r="AT106" i="7"/>
  <c r="AT107" i="7"/>
  <c r="AT108" i="7"/>
  <c r="AT109" i="7"/>
  <c r="AT110" i="7"/>
  <c r="AT111" i="7"/>
  <c r="AT112" i="7"/>
  <c r="AT113" i="7"/>
  <c r="AT114" i="7"/>
  <c r="AT115" i="7"/>
  <c r="AT116" i="7"/>
  <c r="AT117" i="7"/>
  <c r="AT118" i="7"/>
  <c r="AT119" i="7"/>
  <c r="AT120" i="7"/>
  <c r="AT121" i="7"/>
  <c r="AT122" i="7"/>
  <c r="AT123" i="7"/>
  <c r="AT124" i="7"/>
  <c r="AT125" i="7"/>
  <c r="AT126" i="7"/>
  <c r="AT127" i="7"/>
  <c r="AT128" i="7"/>
  <c r="AT129" i="7"/>
  <c r="AT130" i="7"/>
  <c r="AT131" i="7"/>
  <c r="AT132" i="7"/>
  <c r="AT133" i="7"/>
  <c r="AT134" i="7"/>
  <c r="AT135" i="7"/>
  <c r="AT136" i="7"/>
  <c r="AT137" i="7"/>
  <c r="AT138" i="7"/>
  <c r="AT139" i="7"/>
  <c r="AT140" i="7"/>
  <c r="AT141" i="7"/>
  <c r="AT142" i="7"/>
  <c r="AT143" i="7"/>
  <c r="AT144" i="7"/>
  <c r="AT145" i="7"/>
  <c r="AT146" i="7"/>
  <c r="AT147" i="7"/>
  <c r="AS3" i="7"/>
  <c r="AS4" i="7"/>
  <c r="AS5" i="7"/>
  <c r="AZ5" i="7" s="1"/>
  <c r="AS6" i="7"/>
  <c r="AZ6" i="7" s="1"/>
  <c r="AS7" i="7"/>
  <c r="AS8" i="7"/>
  <c r="AV8" i="7" s="1"/>
  <c r="AS9" i="7"/>
  <c r="BA9" i="7" s="1"/>
  <c r="AS10" i="7"/>
  <c r="AS11" i="7"/>
  <c r="AS12" i="7"/>
  <c r="AS13" i="7"/>
  <c r="BA13" i="7" s="1"/>
  <c r="AS14" i="7"/>
  <c r="BA14" i="7" s="1"/>
  <c r="AS15" i="7"/>
  <c r="AS16" i="7"/>
  <c r="AW16" i="7" s="1"/>
  <c r="AS17" i="7"/>
  <c r="BA17" i="7" s="1"/>
  <c r="AS18" i="7"/>
  <c r="AS19" i="7"/>
  <c r="AS20" i="7"/>
  <c r="AS21" i="7"/>
  <c r="BB21" i="7" s="1"/>
  <c r="AS22" i="7"/>
  <c r="AX22" i="7" s="1"/>
  <c r="AS23" i="7"/>
  <c r="AS24" i="7"/>
  <c r="AX24" i="7" s="1"/>
  <c r="AS25" i="7"/>
  <c r="BA25" i="7" s="1"/>
  <c r="AS26" i="7"/>
  <c r="AS27" i="7"/>
  <c r="AS28" i="7"/>
  <c r="AS29" i="7"/>
  <c r="AX29" i="7" s="1"/>
  <c r="AS30" i="7"/>
  <c r="AX30" i="7" s="1"/>
  <c r="AS31" i="7"/>
  <c r="AS32" i="7"/>
  <c r="AY32" i="7" s="1"/>
  <c r="AS33" i="7"/>
  <c r="BA33" i="7" s="1"/>
  <c r="AS34" i="7"/>
  <c r="AS35" i="7"/>
  <c r="AS36" i="7"/>
  <c r="AS37" i="7"/>
  <c r="AY37" i="7" s="1"/>
  <c r="AS38" i="7"/>
  <c r="AZ38" i="7" s="1"/>
  <c r="AS39" i="7"/>
  <c r="AS40" i="7"/>
  <c r="AZ40" i="7" s="1"/>
  <c r="AS41" i="7"/>
  <c r="BA41" i="7" s="1"/>
  <c r="AS42" i="7"/>
  <c r="AS43" i="7"/>
  <c r="AS44" i="7"/>
  <c r="AS45" i="7"/>
  <c r="AW45" i="7" s="1"/>
  <c r="AS46" i="7"/>
  <c r="BA46" i="7" s="1"/>
  <c r="AS47" i="7"/>
  <c r="AS48" i="7"/>
  <c r="BA48" i="7" s="1"/>
  <c r="AS49" i="7"/>
  <c r="BA49" i="7" s="1"/>
  <c r="AS50" i="7"/>
  <c r="AS51" i="7"/>
  <c r="AS52" i="7"/>
  <c r="AS53" i="7"/>
  <c r="AX53" i="7" s="1"/>
  <c r="AS54" i="7"/>
  <c r="AW54" i="7" s="1"/>
  <c r="AS55" i="7"/>
  <c r="AS56" i="7"/>
  <c r="BB56" i="7" s="1"/>
  <c r="AS57" i="7"/>
  <c r="BA57" i="7" s="1"/>
  <c r="AS58" i="7"/>
  <c r="AS59" i="7"/>
  <c r="AS60" i="7"/>
  <c r="AS61" i="7"/>
  <c r="AY61" i="7" s="1"/>
  <c r="AS62" i="7"/>
  <c r="AX62" i="7" s="1"/>
  <c r="AS63" i="7"/>
  <c r="AS64" i="7"/>
  <c r="AV64" i="7" s="1"/>
  <c r="AS65" i="7"/>
  <c r="BA65" i="7" s="1"/>
  <c r="AS66" i="7"/>
  <c r="AS67" i="7"/>
  <c r="AS68" i="7"/>
  <c r="AS69" i="7"/>
  <c r="BB69" i="7" s="1"/>
  <c r="AS70" i="7"/>
  <c r="AY70" i="7" s="1"/>
  <c r="AS71" i="7"/>
  <c r="AS72" i="7"/>
  <c r="AV72" i="7" s="1"/>
  <c r="AS73" i="7"/>
  <c r="BA73" i="7" s="1"/>
  <c r="AS74" i="7"/>
  <c r="AS75" i="7"/>
  <c r="AS76" i="7"/>
  <c r="AS77" i="7"/>
  <c r="BA77" i="7" s="1"/>
  <c r="AS78" i="7"/>
  <c r="AZ78" i="7" s="1"/>
  <c r="AS79" i="7"/>
  <c r="AS80" i="7"/>
  <c r="AW80" i="7" s="1"/>
  <c r="AS81" i="7"/>
  <c r="BA81" i="7" s="1"/>
  <c r="AS82" i="7"/>
  <c r="AS83" i="7"/>
  <c r="AS84" i="7"/>
  <c r="AS85" i="7"/>
  <c r="AY85" i="7" s="1"/>
  <c r="AS86" i="7"/>
  <c r="BB86" i="7" s="1"/>
  <c r="AS87" i="7"/>
  <c r="AS88" i="7"/>
  <c r="AX88" i="7" s="1"/>
  <c r="AS89" i="7"/>
  <c r="BA89" i="7" s="1"/>
  <c r="AS90" i="7"/>
  <c r="AS91" i="7"/>
  <c r="AS92" i="7"/>
  <c r="AS93" i="7"/>
  <c r="BB93" i="7" s="1"/>
  <c r="AS94" i="7"/>
  <c r="AX94" i="7" s="1"/>
  <c r="AS95" i="7"/>
  <c r="AS96" i="7"/>
  <c r="AY96" i="7" s="1"/>
  <c r="AS97" i="7"/>
  <c r="BA97" i="7" s="1"/>
  <c r="AS98" i="7"/>
  <c r="AS99" i="7"/>
  <c r="AS100" i="7"/>
  <c r="AS101" i="7"/>
  <c r="BA101" i="7" s="1"/>
  <c r="AS102" i="7"/>
  <c r="AY102" i="7" s="1"/>
  <c r="AS103" i="7"/>
  <c r="AS104" i="7"/>
  <c r="AZ104" i="7" s="1"/>
  <c r="AS105" i="7"/>
  <c r="BA105" i="7" s="1"/>
  <c r="AS106" i="7"/>
  <c r="AS107" i="7"/>
  <c r="AS108" i="7"/>
  <c r="AS109" i="7"/>
  <c r="BB109" i="7" s="1"/>
  <c r="AS110" i="7"/>
  <c r="AZ110" i="7" s="1"/>
  <c r="AS111" i="7"/>
  <c r="AS112" i="7"/>
  <c r="BA112" i="7" s="1"/>
  <c r="AS113" i="7"/>
  <c r="BA113" i="7" s="1"/>
  <c r="AS114" i="7"/>
  <c r="AS115" i="7"/>
  <c r="AS116" i="7"/>
  <c r="AS117" i="7"/>
  <c r="AX117" i="7" s="1"/>
  <c r="AS118" i="7"/>
  <c r="BB118" i="7" s="1"/>
  <c r="AS119" i="7"/>
  <c r="AS120" i="7"/>
  <c r="BB120" i="7" s="1"/>
  <c r="AS121" i="7"/>
  <c r="BA121" i="7" s="1"/>
  <c r="AS122" i="7"/>
  <c r="AS123" i="7"/>
  <c r="AS124" i="7"/>
  <c r="AS125" i="7"/>
  <c r="AY125" i="7" s="1"/>
  <c r="AS126" i="7"/>
  <c r="AX126" i="7" s="1"/>
  <c r="AS127" i="7"/>
  <c r="AS128" i="7"/>
  <c r="AV128" i="7" s="1"/>
  <c r="AS129" i="7"/>
  <c r="BA129" i="7" s="1"/>
  <c r="AS130" i="7"/>
  <c r="AS131" i="7"/>
  <c r="AS132" i="7"/>
  <c r="AS133" i="7"/>
  <c r="BB133" i="7" s="1"/>
  <c r="AS134" i="7"/>
  <c r="AY134" i="7" s="1"/>
  <c r="AS135" i="7"/>
  <c r="AS136" i="7"/>
  <c r="AV136" i="7" s="1"/>
  <c r="AS137" i="7"/>
  <c r="BA137" i="7" s="1"/>
  <c r="AS138" i="7"/>
  <c r="AS139" i="7"/>
  <c r="AS140" i="7"/>
  <c r="AS141" i="7"/>
  <c r="AX141" i="7" s="1"/>
  <c r="AS142" i="7"/>
  <c r="AZ142" i="7" s="1"/>
  <c r="AS143" i="7"/>
  <c r="AS144" i="7"/>
  <c r="AS145" i="7"/>
  <c r="BA145" i="7" s="1"/>
  <c r="AS146" i="7"/>
  <c r="AS147" i="7"/>
  <c r="AU2" i="7"/>
  <c r="AT2" i="7"/>
  <c r="AS2" i="7"/>
  <c r="AZ2" i="7" s="1"/>
  <c r="AJ3" i="7"/>
  <c r="AJ4" i="7"/>
  <c r="AJ5" i="7"/>
  <c r="AJ6" i="7"/>
  <c r="AJ7" i="7"/>
  <c r="AJ8" i="7"/>
  <c r="AJ9" i="7"/>
  <c r="AJ10" i="7"/>
  <c r="AJ11" i="7"/>
  <c r="AJ12" i="7"/>
  <c r="AJ13" i="7"/>
  <c r="AJ15" i="7"/>
  <c r="AJ16" i="7"/>
  <c r="AJ17" i="7"/>
  <c r="AJ18" i="7"/>
  <c r="AJ19" i="7"/>
  <c r="AJ20" i="7"/>
  <c r="AJ21" i="7"/>
  <c r="AJ22" i="7"/>
  <c r="AJ23" i="7"/>
  <c r="AJ24" i="7"/>
  <c r="AJ26" i="7"/>
  <c r="AJ27" i="7"/>
  <c r="AJ28" i="7"/>
  <c r="AJ29" i="7"/>
  <c r="AJ30" i="7"/>
  <c r="AJ31" i="7"/>
  <c r="AJ32" i="7"/>
  <c r="AJ33" i="7"/>
  <c r="AJ34" i="7"/>
  <c r="AJ35" i="7"/>
  <c r="AJ36" i="7"/>
  <c r="AJ37" i="7"/>
  <c r="AJ38" i="7"/>
  <c r="AJ39" i="7"/>
  <c r="AJ40" i="7"/>
  <c r="AJ41" i="7"/>
  <c r="AJ42" i="7"/>
  <c r="AJ43" i="7"/>
  <c r="AJ44" i="7"/>
  <c r="AJ45" i="7"/>
  <c r="AJ46" i="7"/>
  <c r="AJ47" i="7"/>
  <c r="AJ53" i="7"/>
  <c r="AJ54" i="7"/>
  <c r="AJ55" i="7"/>
  <c r="AJ56" i="7"/>
  <c r="AJ57" i="7"/>
  <c r="AJ58" i="7"/>
  <c r="AJ59" i="7"/>
  <c r="AJ60" i="7"/>
  <c r="AJ61" i="7"/>
  <c r="AJ62" i="7"/>
  <c r="AJ63" i="7"/>
  <c r="AJ64" i="7"/>
  <c r="AJ66" i="7"/>
  <c r="AJ69" i="7"/>
  <c r="AJ70" i="7"/>
  <c r="AJ71" i="7"/>
  <c r="AJ72" i="7"/>
  <c r="AJ73" i="7"/>
  <c r="AJ74" i="7"/>
  <c r="AJ75" i="7"/>
  <c r="AJ76" i="7"/>
  <c r="AJ77" i="7"/>
  <c r="AJ78" i="7"/>
  <c r="AJ79" i="7"/>
  <c r="AJ81" i="7"/>
  <c r="AJ82" i="7"/>
  <c r="AJ83" i="7"/>
  <c r="AJ84" i="7"/>
  <c r="AJ85" i="7"/>
  <c r="AJ86" i="7"/>
  <c r="AJ87" i="7"/>
  <c r="AJ88" i="7"/>
  <c r="AJ89" i="7"/>
  <c r="AJ90" i="7"/>
  <c r="AJ91" i="7"/>
  <c r="AJ92" i="7"/>
  <c r="AJ93" i="7"/>
  <c r="AJ94" i="7"/>
  <c r="AJ95" i="7"/>
  <c r="AJ97" i="7"/>
  <c r="AJ98" i="7"/>
  <c r="AJ99" i="7"/>
  <c r="AJ100" i="7"/>
  <c r="AJ101" i="7"/>
  <c r="AJ102" i="7"/>
  <c r="AJ104" i="7"/>
  <c r="AJ105" i="7"/>
  <c r="AJ106" i="7"/>
  <c r="AJ107" i="7"/>
  <c r="AJ110" i="7"/>
  <c r="AJ111" i="7"/>
  <c r="AJ112" i="7"/>
  <c r="AJ113" i="7"/>
  <c r="AJ114" i="7"/>
  <c r="AJ115" i="7"/>
  <c r="AJ116" i="7"/>
  <c r="AJ117" i="7"/>
  <c r="AJ118" i="7"/>
  <c r="AJ119" i="7"/>
  <c r="AJ120" i="7"/>
  <c r="AJ121" i="7"/>
  <c r="AJ122" i="7"/>
  <c r="AJ123" i="7"/>
  <c r="AJ124" i="7"/>
  <c r="AJ125" i="7"/>
  <c r="AJ126" i="7"/>
  <c r="AJ127" i="7"/>
  <c r="AJ128" i="7"/>
  <c r="AJ129" i="7"/>
  <c r="AJ130" i="7"/>
  <c r="AJ131" i="7"/>
  <c r="AJ132" i="7"/>
  <c r="AJ134" i="7"/>
  <c r="AJ135" i="7"/>
  <c r="AJ137" i="7"/>
  <c r="AJ138" i="7"/>
  <c r="AJ139" i="7"/>
  <c r="AJ140" i="7"/>
  <c r="AJ141" i="7"/>
  <c r="AJ142" i="7"/>
  <c r="AJ143" i="7"/>
  <c r="AJ144" i="7"/>
  <c r="AJ145" i="7"/>
  <c r="AJ146" i="7"/>
  <c r="AJ147" i="7"/>
  <c r="AJ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2" i="7"/>
  <c r="AH3" i="7"/>
  <c r="AH4" i="7"/>
  <c r="AH5" i="7"/>
  <c r="AH6" i="7"/>
  <c r="AQ6" i="7" s="1"/>
  <c r="AH7" i="7"/>
  <c r="AL7" i="7" s="1"/>
  <c r="AH8" i="7"/>
  <c r="AK8" i="7" s="1"/>
  <c r="AH9" i="7"/>
  <c r="AQ9" i="7" s="1"/>
  <c r="AH10" i="7"/>
  <c r="AH11" i="7"/>
  <c r="AH12" i="7"/>
  <c r="AH13" i="7"/>
  <c r="AH14" i="7"/>
  <c r="AN14" i="7" s="1"/>
  <c r="AH15" i="7"/>
  <c r="AQ15" i="7" s="1"/>
  <c r="AH16" i="7"/>
  <c r="AL16" i="7" s="1"/>
  <c r="AH17" i="7"/>
  <c r="AQ17" i="7" s="1"/>
  <c r="AH18" i="7"/>
  <c r="AH19" i="7"/>
  <c r="AH20" i="7"/>
  <c r="AH21" i="7"/>
  <c r="AH22" i="7"/>
  <c r="AO22" i="7" s="1"/>
  <c r="AH23" i="7"/>
  <c r="AO23" i="7" s="1"/>
  <c r="AH24" i="7"/>
  <c r="AM24" i="7" s="1"/>
  <c r="AH25" i="7"/>
  <c r="AH26" i="7"/>
  <c r="AH27" i="7"/>
  <c r="AH28" i="7"/>
  <c r="AH29" i="7"/>
  <c r="AH30" i="7"/>
  <c r="AM30" i="7" s="1"/>
  <c r="AH31" i="7"/>
  <c r="AL31" i="7" s="1"/>
  <c r="AH32" i="7"/>
  <c r="AN32" i="7" s="1"/>
  <c r="AH33" i="7"/>
  <c r="AQ33" i="7" s="1"/>
  <c r="AH34" i="7"/>
  <c r="AH35" i="7"/>
  <c r="AH36" i="7"/>
  <c r="AH37" i="7"/>
  <c r="AH38" i="7"/>
  <c r="AL38" i="7" s="1"/>
  <c r="AH39" i="7"/>
  <c r="AQ39" i="7" s="1"/>
  <c r="AH40" i="7"/>
  <c r="AO40" i="7" s="1"/>
  <c r="AH41" i="7"/>
  <c r="AQ41" i="7" s="1"/>
  <c r="AH42" i="7"/>
  <c r="AH43" i="7"/>
  <c r="AH44" i="7"/>
  <c r="AH45" i="7"/>
  <c r="AH46" i="7"/>
  <c r="AO46" i="7" s="1"/>
  <c r="AH47" i="7"/>
  <c r="AM47" i="7" s="1"/>
  <c r="AH48" i="7"/>
  <c r="AP48" i="7" s="1"/>
  <c r="AH49" i="7"/>
  <c r="AH50" i="7"/>
  <c r="AH51" i="7"/>
  <c r="AH52" i="7"/>
  <c r="AH53" i="7"/>
  <c r="AH54" i="7"/>
  <c r="AO54" i="7" s="1"/>
  <c r="AH55" i="7"/>
  <c r="AQ55" i="7" s="1"/>
  <c r="AH56" i="7"/>
  <c r="AQ56" i="7" s="1"/>
  <c r="AH57" i="7"/>
  <c r="AQ57" i="7" s="1"/>
  <c r="AH58" i="7"/>
  <c r="AH59" i="7"/>
  <c r="AH60" i="7"/>
  <c r="AH61" i="7"/>
  <c r="AH62" i="7"/>
  <c r="AM62" i="7" s="1"/>
  <c r="AH63" i="7"/>
  <c r="AP63" i="7" s="1"/>
  <c r="AH64" i="7"/>
  <c r="AK64" i="7" s="1"/>
  <c r="AH65" i="7"/>
  <c r="AQ65" i="7" s="1"/>
  <c r="AH66" i="7"/>
  <c r="AH67" i="7"/>
  <c r="AH68" i="7"/>
  <c r="AH69" i="7"/>
  <c r="AH70" i="7"/>
  <c r="AK70" i="7" s="1"/>
  <c r="AH71" i="7"/>
  <c r="AP71" i="7" s="1"/>
  <c r="AH72" i="7"/>
  <c r="AK72" i="7" s="1"/>
  <c r="AH73" i="7"/>
  <c r="AQ73" i="7" s="1"/>
  <c r="AH74" i="7"/>
  <c r="AH75" i="7"/>
  <c r="AH76" i="7"/>
  <c r="AH77" i="7"/>
  <c r="AH78" i="7"/>
  <c r="AO78" i="7" s="1"/>
  <c r="AH79" i="7"/>
  <c r="AN79" i="7" s="1"/>
  <c r="AH80" i="7"/>
  <c r="AL80" i="7" s="1"/>
  <c r="AH81" i="7"/>
  <c r="AQ81" i="7" s="1"/>
  <c r="AH82" i="7"/>
  <c r="AH83" i="7"/>
  <c r="AH84" i="7"/>
  <c r="AH85" i="7"/>
  <c r="AH86" i="7"/>
  <c r="AO86" i="7" s="1"/>
  <c r="AH87" i="7"/>
  <c r="AL87" i="7" s="1"/>
  <c r="AH88" i="7"/>
  <c r="AM88" i="7" s="1"/>
  <c r="AH89" i="7"/>
  <c r="AQ89" i="7" s="1"/>
  <c r="AH90" i="7"/>
  <c r="AH91" i="7"/>
  <c r="AH92" i="7"/>
  <c r="AH93" i="7"/>
  <c r="AH94" i="7"/>
  <c r="AP94" i="7" s="1"/>
  <c r="AH95" i="7"/>
  <c r="AM95" i="7" s="1"/>
  <c r="AH96" i="7"/>
  <c r="AN96" i="7" s="1"/>
  <c r="AH97" i="7"/>
  <c r="AQ97" i="7" s="1"/>
  <c r="AH98" i="7"/>
  <c r="AH99" i="7"/>
  <c r="AH100" i="7"/>
  <c r="AH101" i="7"/>
  <c r="AH102" i="7"/>
  <c r="AQ102" i="7" s="1"/>
  <c r="AH103" i="7"/>
  <c r="AN103" i="7" s="1"/>
  <c r="AH104" i="7"/>
  <c r="AO104" i="7" s="1"/>
  <c r="AH105" i="7"/>
  <c r="AQ105" i="7" s="1"/>
  <c r="AH106" i="7"/>
  <c r="AH107" i="7"/>
  <c r="AH108" i="7"/>
  <c r="AH109" i="7"/>
  <c r="AH110" i="7"/>
  <c r="AL110" i="7" s="1"/>
  <c r="AH111" i="7"/>
  <c r="AL111" i="7" s="1"/>
  <c r="AH112" i="7"/>
  <c r="AP112" i="7" s="1"/>
  <c r="AH113" i="7"/>
  <c r="AQ113" i="7" s="1"/>
  <c r="AH114" i="7"/>
  <c r="AH115" i="7"/>
  <c r="AH116" i="7"/>
  <c r="AH117" i="7"/>
  <c r="AH118" i="7"/>
  <c r="AO118" i="7" s="1"/>
  <c r="AH119" i="7"/>
  <c r="AO119" i="7" s="1"/>
  <c r="AH120" i="7"/>
  <c r="AQ120" i="7" s="1"/>
  <c r="AH121" i="7"/>
  <c r="AQ121" i="7" s="1"/>
  <c r="AH122" i="7"/>
  <c r="AH123" i="7"/>
  <c r="AH124" i="7"/>
  <c r="AH125" i="7"/>
  <c r="AH126" i="7"/>
  <c r="AP126" i="7" s="1"/>
  <c r="AH127" i="7"/>
  <c r="AN127" i="7" s="1"/>
  <c r="AH128" i="7"/>
  <c r="AK128" i="7" s="1"/>
  <c r="AH129" i="7"/>
  <c r="AQ129" i="7" s="1"/>
  <c r="AH130" i="7"/>
  <c r="AH131" i="7"/>
  <c r="AH132" i="7"/>
  <c r="AH133" i="7"/>
  <c r="AH134" i="7"/>
  <c r="AK134" i="7" s="1"/>
  <c r="AH135" i="7"/>
  <c r="AQ135" i="7" s="1"/>
  <c r="AH136" i="7"/>
  <c r="AK136" i="7" s="1"/>
  <c r="AH137" i="7"/>
  <c r="AQ137" i="7" s="1"/>
  <c r="AH138" i="7"/>
  <c r="AH139" i="7"/>
  <c r="AH140" i="7"/>
  <c r="AH141" i="7"/>
  <c r="AH142" i="7"/>
  <c r="AM142" i="7" s="1"/>
  <c r="AH143" i="7"/>
  <c r="AP143" i="7" s="1"/>
  <c r="AH144" i="7"/>
  <c r="AL144" i="7" s="1"/>
  <c r="AH145" i="7"/>
  <c r="AQ145" i="7" s="1"/>
  <c r="AH146" i="7"/>
  <c r="AH147" i="7"/>
  <c r="AH2" i="7"/>
  <c r="Y5" i="7"/>
  <c r="Y6" i="7"/>
  <c r="Y7" i="7"/>
  <c r="Y8" i="7"/>
  <c r="Y9" i="7"/>
  <c r="Y13" i="7"/>
  <c r="Y14" i="7"/>
  <c r="Y18" i="7"/>
  <c r="Y19" i="7"/>
  <c r="Y20" i="7"/>
  <c r="Y21" i="7"/>
  <c r="Y23" i="7"/>
  <c r="Y24" i="7"/>
  <c r="Y25" i="7"/>
  <c r="Y28" i="7"/>
  <c r="Y29" i="7"/>
  <c r="Y34" i="7"/>
  <c r="Y36" i="7"/>
  <c r="Y37" i="7"/>
  <c r="Y38" i="7"/>
  <c r="Y40" i="7"/>
  <c r="Y41" i="7"/>
  <c r="Y44" i="7"/>
  <c r="Y45" i="7"/>
  <c r="Y48" i="7"/>
  <c r="Y49" i="7"/>
  <c r="Y50" i="7"/>
  <c r="Y51" i="7"/>
  <c r="Y52" i="7"/>
  <c r="Y56" i="7"/>
  <c r="Y57" i="7"/>
  <c r="Y58" i="7"/>
  <c r="Y59" i="7"/>
  <c r="Y63" i="7"/>
  <c r="Y64" i="7"/>
  <c r="Y65" i="7"/>
  <c r="Y67" i="7"/>
  <c r="Y68" i="7"/>
  <c r="Y70" i="7"/>
  <c r="Y71" i="7"/>
  <c r="Y72" i="7"/>
  <c r="Y73" i="7"/>
  <c r="Y76" i="7"/>
  <c r="Y77" i="7"/>
  <c r="Y78" i="7"/>
  <c r="Y79" i="7"/>
  <c r="Y80" i="7"/>
  <c r="Y81" i="7"/>
  <c r="Y82" i="7"/>
  <c r="Y83" i="7"/>
  <c r="Y84" i="7"/>
  <c r="Y86" i="7"/>
  <c r="Y87" i="7"/>
  <c r="Y88" i="7"/>
  <c r="Y89" i="7"/>
  <c r="Y93" i="7"/>
  <c r="Y94" i="7"/>
  <c r="Y95" i="7"/>
  <c r="Y96" i="7"/>
  <c r="Y97" i="7"/>
  <c r="Y98" i="7"/>
  <c r="Y99" i="7"/>
  <c r="Y100" i="7"/>
  <c r="Y101" i="7"/>
  <c r="Y103" i="7"/>
  <c r="Y104" i="7"/>
  <c r="Y105" i="7"/>
  <c r="Y106" i="7"/>
  <c r="Y107" i="7"/>
  <c r="Y108" i="7"/>
  <c r="Y109" i="7"/>
  <c r="Y110" i="7"/>
  <c r="Y111" i="7"/>
  <c r="Y113" i="7"/>
  <c r="Y114" i="7"/>
  <c r="Y116" i="7"/>
  <c r="Y117" i="7"/>
  <c r="Y118" i="7"/>
  <c r="Y119" i="7"/>
  <c r="Y120" i="7"/>
  <c r="Y121" i="7"/>
  <c r="Y122" i="7"/>
  <c r="Y123" i="7"/>
  <c r="Y125" i="7"/>
  <c r="Y126" i="7"/>
  <c r="Y127" i="7"/>
  <c r="Y130" i="7"/>
  <c r="Y131" i="7"/>
  <c r="Y132" i="7"/>
  <c r="Y133" i="7"/>
  <c r="Y134" i="7"/>
  <c r="Y135" i="7"/>
  <c r="Y136" i="7"/>
  <c r="Y137" i="7"/>
  <c r="Y138" i="7"/>
  <c r="Y139" i="7"/>
  <c r="Y140" i="7"/>
  <c r="Y144" i="7"/>
  <c r="Y145" i="7"/>
  <c r="Y147" i="7"/>
  <c r="Y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145" i="7"/>
  <c r="X146" i="7"/>
  <c r="X147" i="7"/>
  <c r="X2" i="7"/>
  <c r="W3" i="7"/>
  <c r="W4" i="7"/>
  <c r="W5" i="7"/>
  <c r="W6" i="7"/>
  <c r="W7" i="7"/>
  <c r="W8" i="7"/>
  <c r="W9" i="7"/>
  <c r="AA9" i="7" s="1"/>
  <c r="W10" i="7"/>
  <c r="W11" i="7"/>
  <c r="W12" i="7"/>
  <c r="W13" i="7"/>
  <c r="W14" i="7"/>
  <c r="AC14" i="7" s="1"/>
  <c r="W15" i="7"/>
  <c r="W16" i="7"/>
  <c r="AF16" i="7" s="1"/>
  <c r="W17" i="7"/>
  <c r="W18" i="7"/>
  <c r="W19" i="7"/>
  <c r="W20" i="7"/>
  <c r="W21" i="7"/>
  <c r="W22" i="7"/>
  <c r="W23" i="7"/>
  <c r="W24" i="7"/>
  <c r="W25" i="7"/>
  <c r="AF25" i="7" s="1"/>
  <c r="W26" i="7"/>
  <c r="W27" i="7"/>
  <c r="W28" i="7"/>
  <c r="W29" i="7"/>
  <c r="AB29" i="7" s="1"/>
  <c r="W30" i="7"/>
  <c r="W31" i="7"/>
  <c r="W32" i="7"/>
  <c r="AE32" i="7" s="1"/>
  <c r="W33" i="7"/>
  <c r="AA33" i="7" s="1"/>
  <c r="W34" i="7"/>
  <c r="W35" i="7"/>
  <c r="W36" i="7"/>
  <c r="W37" i="7"/>
  <c r="W38" i="7"/>
  <c r="W39" i="7"/>
  <c r="W40" i="7"/>
  <c r="AE40" i="7" s="1"/>
  <c r="W41" i="7"/>
  <c r="AA41" i="7" s="1"/>
  <c r="W42" i="7"/>
  <c r="W43" i="7"/>
  <c r="W44" i="7"/>
  <c r="W45" i="7"/>
  <c r="W46" i="7"/>
  <c r="W47" i="7"/>
  <c r="W48" i="7"/>
  <c r="AF48" i="7" s="1"/>
  <c r="W49" i="7"/>
  <c r="AF49" i="7" s="1"/>
  <c r="W50" i="7"/>
  <c r="W51" i="7"/>
  <c r="W52" i="7"/>
  <c r="W53" i="7"/>
  <c r="W54" i="7"/>
  <c r="W55" i="7"/>
  <c r="W56" i="7"/>
  <c r="Z56" i="7" s="1"/>
  <c r="W57" i="7"/>
  <c r="W58" i="7"/>
  <c r="W59" i="7"/>
  <c r="W60" i="7"/>
  <c r="W61" i="7"/>
  <c r="W62" i="7"/>
  <c r="W63" i="7"/>
  <c r="W64" i="7"/>
  <c r="W65" i="7"/>
  <c r="AA65" i="7" s="1"/>
  <c r="W66" i="7"/>
  <c r="W67" i="7"/>
  <c r="W68" i="7"/>
  <c r="W69" i="7"/>
  <c r="W70" i="7"/>
  <c r="W71" i="7"/>
  <c r="W72" i="7"/>
  <c r="AE72" i="7" s="1"/>
  <c r="W73" i="7"/>
  <c r="AA73" i="7" s="1"/>
  <c r="W74" i="7"/>
  <c r="W75" i="7"/>
  <c r="W76" i="7"/>
  <c r="W77" i="7"/>
  <c r="W78" i="7"/>
  <c r="W79" i="7"/>
  <c r="W80" i="7"/>
  <c r="AF80" i="7" s="1"/>
  <c r="W81" i="7"/>
  <c r="AF81" i="7" s="1"/>
  <c r="W82" i="7"/>
  <c r="W83" i="7"/>
  <c r="W84" i="7"/>
  <c r="W85" i="7"/>
  <c r="W86" i="7"/>
  <c r="W87" i="7"/>
  <c r="W88" i="7"/>
  <c r="W89" i="7"/>
  <c r="AF89" i="7" s="1"/>
  <c r="W90" i="7"/>
  <c r="W91" i="7"/>
  <c r="W92" i="7"/>
  <c r="W93" i="7"/>
  <c r="AB93" i="7" s="1"/>
  <c r="W94" i="7"/>
  <c r="W95" i="7"/>
  <c r="W96" i="7"/>
  <c r="AE96" i="7" s="1"/>
  <c r="W97" i="7"/>
  <c r="AF97" i="7" s="1"/>
  <c r="W98" i="7"/>
  <c r="W99" i="7"/>
  <c r="W100" i="7"/>
  <c r="W101" i="7"/>
  <c r="W102" i="7"/>
  <c r="W103" i="7"/>
  <c r="W104" i="7"/>
  <c r="W105" i="7"/>
  <c r="AB105" i="7" s="1"/>
  <c r="W106" i="7"/>
  <c r="AB106" i="7" s="1"/>
  <c r="W107" i="7"/>
  <c r="W108" i="7"/>
  <c r="W109" i="7"/>
  <c r="W110" i="7"/>
  <c r="AC110" i="7" s="1"/>
  <c r="W111" i="7"/>
  <c r="W112" i="7"/>
  <c r="AF112" i="7" s="1"/>
  <c r="W113" i="7"/>
  <c r="AF113" i="7" s="1"/>
  <c r="W114" i="7"/>
  <c r="AB114" i="7" s="1"/>
  <c r="W115" i="7"/>
  <c r="W116" i="7"/>
  <c r="W117" i="7"/>
  <c r="W118" i="7"/>
  <c r="W119" i="7"/>
  <c r="W120" i="7"/>
  <c r="AB120" i="7" s="1"/>
  <c r="W121" i="7"/>
  <c r="W122" i="7"/>
  <c r="AB122" i="7" s="1"/>
  <c r="W123" i="7"/>
  <c r="W124" i="7"/>
  <c r="W125" i="7"/>
  <c r="W126" i="7"/>
  <c r="W127" i="7"/>
  <c r="W128" i="7"/>
  <c r="AE128" i="7" s="1"/>
  <c r="W129" i="7"/>
  <c r="AA129" i="7" s="1"/>
  <c r="W130" i="7"/>
  <c r="AB130" i="7" s="1"/>
  <c r="W131" i="7"/>
  <c r="W132" i="7"/>
  <c r="W133" i="7"/>
  <c r="W134" i="7"/>
  <c r="W135" i="7"/>
  <c r="W136" i="7"/>
  <c r="AE136" i="7" s="1"/>
  <c r="W137" i="7"/>
  <c r="AA137" i="7" s="1"/>
  <c r="W138" i="7"/>
  <c r="AB138" i="7" s="1"/>
  <c r="W139" i="7"/>
  <c r="W140" i="7"/>
  <c r="W141" i="7"/>
  <c r="W142" i="7"/>
  <c r="AC142" i="7" s="1"/>
  <c r="W143" i="7"/>
  <c r="W144" i="7"/>
  <c r="AF144" i="7" s="1"/>
  <c r="W145" i="7"/>
  <c r="AF145" i="7" s="1"/>
  <c r="W146" i="7"/>
  <c r="AB146" i="7" s="1"/>
  <c r="W147" i="7"/>
  <c r="W2" i="7"/>
  <c r="N3" i="7"/>
  <c r="N4" i="7"/>
  <c r="N6" i="7"/>
  <c r="N7" i="7"/>
  <c r="N8" i="7"/>
  <c r="N9" i="7"/>
  <c r="N10" i="7"/>
  <c r="N11" i="7"/>
  <c r="N12" i="7"/>
  <c r="N13" i="7"/>
  <c r="N14" i="7"/>
  <c r="N15" i="7"/>
  <c r="N16" i="7"/>
  <c r="N17" i="7"/>
  <c r="N18" i="7"/>
  <c r="N19" i="7"/>
  <c r="N20" i="7"/>
  <c r="N21" i="7"/>
  <c r="N22" i="7"/>
  <c r="N23" i="7"/>
  <c r="N25" i="7"/>
  <c r="N26" i="7"/>
  <c r="N27" i="7"/>
  <c r="N30" i="7"/>
  <c r="N31" i="7"/>
  <c r="N32" i="7"/>
  <c r="N33" i="7"/>
  <c r="N34" i="7"/>
  <c r="N35" i="7"/>
  <c r="N36" i="7"/>
  <c r="N38" i="7"/>
  <c r="N39" i="7"/>
  <c r="N42" i="7"/>
  <c r="N43" i="7"/>
  <c r="N46" i="7"/>
  <c r="N47" i="7"/>
  <c r="N48" i="7"/>
  <c r="N49" i="7"/>
  <c r="N50" i="7"/>
  <c r="N51" i="7"/>
  <c r="N52" i="7"/>
  <c r="N53" i="7"/>
  <c r="N54" i="7"/>
  <c r="N55" i="7"/>
  <c r="N57" i="7"/>
  <c r="N58" i="7"/>
  <c r="N60" i="7"/>
  <c r="N61" i="7"/>
  <c r="N62" i="7"/>
  <c r="N63" i="7"/>
  <c r="N65" i="7"/>
  <c r="N66" i="7"/>
  <c r="N67" i="7"/>
  <c r="N68" i="7"/>
  <c r="N69" i="7"/>
  <c r="N70" i="7"/>
  <c r="N72" i="7"/>
  <c r="N73" i="7"/>
  <c r="N74" i="7"/>
  <c r="N75" i="7"/>
  <c r="N78" i="7"/>
  <c r="N80" i="7"/>
  <c r="N81" i="7"/>
  <c r="N82" i="7"/>
  <c r="N83" i="7"/>
  <c r="N84" i="7"/>
  <c r="N85" i="7"/>
  <c r="N86" i="7"/>
  <c r="N89" i="7"/>
  <c r="N90" i="7"/>
  <c r="N91" i="7"/>
  <c r="N92" i="7"/>
  <c r="N96" i="7"/>
  <c r="N97" i="7"/>
  <c r="N98" i="7"/>
  <c r="N99" i="7"/>
  <c r="N100" i="7"/>
  <c r="N102" i="7"/>
  <c r="N103" i="7"/>
  <c r="N104" i="7"/>
  <c r="N105" i="7"/>
  <c r="N106" i="7"/>
  <c r="N107" i="7"/>
  <c r="N108" i="7"/>
  <c r="N109" i="7"/>
  <c r="N110" i="7"/>
  <c r="N112" i="7"/>
  <c r="N113" i="7"/>
  <c r="N115" i="7"/>
  <c r="N117" i="7"/>
  <c r="N124" i="7"/>
  <c r="N126" i="7"/>
  <c r="N127" i="7"/>
  <c r="N128" i="7"/>
  <c r="N129" i="7"/>
  <c r="N130" i="7"/>
  <c r="N131" i="7"/>
  <c r="N132" i="7"/>
  <c r="N133" i="7"/>
  <c r="N136" i="7"/>
  <c r="N137" i="7"/>
  <c r="N138" i="7"/>
  <c r="N140" i="7"/>
  <c r="N141" i="7"/>
  <c r="N142" i="7"/>
  <c r="N143" i="7"/>
  <c r="N144" i="7"/>
  <c r="N146" i="7"/>
  <c r="N147" i="7"/>
  <c r="N2" i="7"/>
  <c r="M3"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2" i="7"/>
  <c r="C3" i="7"/>
  <c r="C4" i="7"/>
  <c r="C5" i="7"/>
  <c r="C7" i="7"/>
  <c r="C8" i="7"/>
  <c r="C9" i="7"/>
  <c r="C10" i="7"/>
  <c r="C11" i="7"/>
  <c r="C12" i="7"/>
  <c r="C13" i="7"/>
  <c r="C14" i="7"/>
  <c r="C15" i="7"/>
  <c r="C16" i="7"/>
  <c r="C17" i="7"/>
  <c r="C18" i="7"/>
  <c r="C22" i="7"/>
  <c r="C24" i="7"/>
  <c r="C25" i="7"/>
  <c r="C26" i="7"/>
  <c r="C27" i="7"/>
  <c r="C28" i="7"/>
  <c r="C29" i="7"/>
  <c r="C30" i="7"/>
  <c r="C31" i="7"/>
  <c r="C32" i="7"/>
  <c r="C33" i="7"/>
  <c r="C34" i="7"/>
  <c r="C35" i="7"/>
  <c r="C37" i="7"/>
  <c r="C38" i="7"/>
  <c r="C39" i="7"/>
  <c r="C40" i="7"/>
  <c r="C41" i="7"/>
  <c r="C42" i="7"/>
  <c r="C43" i="7"/>
  <c r="C44" i="7"/>
  <c r="C45" i="7"/>
  <c r="C46" i="7"/>
  <c r="C47" i="7"/>
  <c r="C48" i="7"/>
  <c r="C49" i="7"/>
  <c r="C50" i="7"/>
  <c r="C51" i="7"/>
  <c r="C52" i="7"/>
  <c r="C53" i="7"/>
  <c r="C54" i="7"/>
  <c r="C55" i="7"/>
  <c r="C56" i="7"/>
  <c r="C59" i="7"/>
  <c r="C60" i="7"/>
  <c r="C61" i="7"/>
  <c r="C62" i="7"/>
  <c r="C64" i="7"/>
  <c r="C65" i="7"/>
  <c r="C66" i="7"/>
  <c r="C67" i="7"/>
  <c r="C68" i="7"/>
  <c r="C69" i="7"/>
  <c r="C71" i="7"/>
  <c r="C73" i="7"/>
  <c r="C74" i="7"/>
  <c r="C75" i="7"/>
  <c r="C76" i="7"/>
  <c r="C77" i="7"/>
  <c r="C79" i="7"/>
  <c r="C80" i="7"/>
  <c r="C85" i="7"/>
  <c r="C86" i="7"/>
  <c r="C87" i="7"/>
  <c r="C88" i="7"/>
  <c r="C90" i="7"/>
  <c r="C91" i="7"/>
  <c r="C92" i="7"/>
  <c r="C93" i="7"/>
  <c r="C94" i="7"/>
  <c r="C95" i="7"/>
  <c r="C96" i="7"/>
  <c r="C99" i="7"/>
  <c r="C101" i="7"/>
  <c r="C102" i="7"/>
  <c r="C103" i="7"/>
  <c r="C105" i="7"/>
  <c r="C106" i="7"/>
  <c r="C108" i="7"/>
  <c r="C109" i="7"/>
  <c r="C111" i="7"/>
  <c r="C112" i="7"/>
  <c r="C114" i="7"/>
  <c r="C115" i="7"/>
  <c r="C116" i="7"/>
  <c r="C118" i="7"/>
  <c r="C119" i="7"/>
  <c r="C120" i="7"/>
  <c r="C121" i="7"/>
  <c r="C122" i="7"/>
  <c r="C123" i="7"/>
  <c r="C124" i="7"/>
  <c r="C125" i="7"/>
  <c r="C128" i="7"/>
  <c r="C129" i="7"/>
  <c r="C133" i="7"/>
  <c r="C134" i="7"/>
  <c r="C135" i="7"/>
  <c r="C136" i="7"/>
  <c r="C139" i="7"/>
  <c r="C140" i="7"/>
  <c r="C141" i="7"/>
  <c r="C142" i="7"/>
  <c r="C143" i="7"/>
  <c r="C144" i="7"/>
  <c r="C145" i="7"/>
  <c r="C146" i="7"/>
  <c r="C147"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2" i="7"/>
  <c r="L3" i="7"/>
  <c r="L4" i="7"/>
  <c r="Q4" i="7" s="1"/>
  <c r="L5" i="7"/>
  <c r="L6" i="7"/>
  <c r="L7" i="7"/>
  <c r="L8" i="7"/>
  <c r="P8" i="7" s="1"/>
  <c r="L9" i="7"/>
  <c r="P9" i="7" s="1"/>
  <c r="L10" i="7"/>
  <c r="P10" i="7" s="1"/>
  <c r="L11" i="7"/>
  <c r="L12" i="7"/>
  <c r="O12" i="7" s="1"/>
  <c r="L13" i="7"/>
  <c r="L14" i="7"/>
  <c r="Q14" i="7" s="1"/>
  <c r="L15" i="7"/>
  <c r="L16" i="7"/>
  <c r="P16" i="7" s="1"/>
  <c r="L17" i="7"/>
  <c r="P17" i="7" s="1"/>
  <c r="L18" i="7"/>
  <c r="P18" i="7" s="1"/>
  <c r="L19" i="7"/>
  <c r="L20" i="7"/>
  <c r="O20" i="7" s="1"/>
  <c r="L21" i="7"/>
  <c r="L22" i="7"/>
  <c r="L23" i="7"/>
  <c r="P23" i="7" s="1"/>
  <c r="L24" i="7"/>
  <c r="P24" i="7" s="1"/>
  <c r="L25" i="7"/>
  <c r="P25" i="7" s="1"/>
  <c r="L26" i="7"/>
  <c r="P26" i="7" s="1"/>
  <c r="L27" i="7"/>
  <c r="L28" i="7"/>
  <c r="L29" i="7"/>
  <c r="L30" i="7"/>
  <c r="Q30" i="7" s="1"/>
  <c r="L31" i="7"/>
  <c r="P31" i="7" s="1"/>
  <c r="L32" i="7"/>
  <c r="T32" i="7" s="1"/>
  <c r="L33" i="7"/>
  <c r="T33" i="7" s="1"/>
  <c r="L34" i="7"/>
  <c r="P34" i="7" s="1"/>
  <c r="L35" i="7"/>
  <c r="L36" i="7"/>
  <c r="P36" i="7" s="1"/>
  <c r="L37" i="7"/>
  <c r="L38" i="7"/>
  <c r="Q38" i="7" s="1"/>
  <c r="L39" i="7"/>
  <c r="P39" i="7" s="1"/>
  <c r="L40" i="7"/>
  <c r="L41" i="7"/>
  <c r="L42" i="7"/>
  <c r="P42" i="7" s="1"/>
  <c r="L43" i="7"/>
  <c r="L44" i="7"/>
  <c r="O44" i="7" s="1"/>
  <c r="L45" i="7"/>
  <c r="L46" i="7"/>
  <c r="L47" i="7"/>
  <c r="R47" i="7" s="1"/>
  <c r="L48" i="7"/>
  <c r="P48" i="7" s="1"/>
  <c r="L49" i="7"/>
  <c r="P49" i="7" s="1"/>
  <c r="L50" i="7"/>
  <c r="P50" i="7" s="1"/>
  <c r="L51" i="7"/>
  <c r="L52" i="7"/>
  <c r="O52" i="7" s="1"/>
  <c r="L53" i="7"/>
  <c r="L54" i="7"/>
  <c r="O54" i="7" s="1"/>
  <c r="L55" i="7"/>
  <c r="P55" i="7" s="1"/>
  <c r="L56" i="7"/>
  <c r="P56" i="7" s="1"/>
  <c r="L57" i="7"/>
  <c r="P57" i="7" s="1"/>
  <c r="L58" i="7"/>
  <c r="P58" i="7" s="1"/>
  <c r="L59" i="7"/>
  <c r="L60" i="7"/>
  <c r="P60" i="7" s="1"/>
  <c r="L61" i="7"/>
  <c r="L62" i="7"/>
  <c r="Q62" i="7" s="1"/>
  <c r="L63" i="7"/>
  <c r="P63" i="7" s="1"/>
  <c r="L64" i="7"/>
  <c r="T64" i="7" s="1"/>
  <c r="L65" i="7"/>
  <c r="T65" i="7" s="1"/>
  <c r="L66" i="7"/>
  <c r="P66" i="7" s="1"/>
  <c r="L67" i="7"/>
  <c r="L68" i="7"/>
  <c r="P68" i="7" s="1"/>
  <c r="L69" i="7"/>
  <c r="L70" i="7"/>
  <c r="L71" i="7"/>
  <c r="L72" i="7"/>
  <c r="P72" i="7" s="1"/>
  <c r="L73" i="7"/>
  <c r="P73" i="7" s="1"/>
  <c r="L74" i="7"/>
  <c r="P74" i="7" s="1"/>
  <c r="L75" i="7"/>
  <c r="L76" i="7"/>
  <c r="L77" i="7"/>
  <c r="L78" i="7"/>
  <c r="O78" i="7" s="1"/>
  <c r="L79" i="7"/>
  <c r="L80" i="7"/>
  <c r="P80" i="7" s="1"/>
  <c r="L81" i="7"/>
  <c r="P81" i="7" s="1"/>
  <c r="L82" i="7"/>
  <c r="P82" i="7" s="1"/>
  <c r="L83" i="7"/>
  <c r="L84" i="7"/>
  <c r="O84" i="7" s="1"/>
  <c r="L85" i="7"/>
  <c r="L86" i="7"/>
  <c r="Q86" i="7" s="1"/>
  <c r="L87" i="7"/>
  <c r="L88" i="7"/>
  <c r="P88" i="7" s="1"/>
  <c r="L89" i="7"/>
  <c r="P89" i="7" s="1"/>
  <c r="L90" i="7"/>
  <c r="P90" i="7" s="1"/>
  <c r="L91" i="7"/>
  <c r="L92" i="7"/>
  <c r="P92" i="7" s="1"/>
  <c r="L93" i="7"/>
  <c r="L94" i="7"/>
  <c r="L95" i="7"/>
  <c r="L96" i="7"/>
  <c r="T96" i="7" s="1"/>
  <c r="L97" i="7"/>
  <c r="T97" i="7" s="1"/>
  <c r="L98" i="7"/>
  <c r="L99" i="7"/>
  <c r="L100" i="7"/>
  <c r="L101" i="7"/>
  <c r="L102" i="7"/>
  <c r="R102" i="7" s="1"/>
  <c r="L103" i="7"/>
  <c r="L104" i="7"/>
  <c r="P104" i="7" s="1"/>
  <c r="L105" i="7"/>
  <c r="P105" i="7" s="1"/>
  <c r="L106" i="7"/>
  <c r="L107" i="7"/>
  <c r="L108" i="7"/>
  <c r="O108" i="7" s="1"/>
  <c r="L109" i="7"/>
  <c r="L110" i="7"/>
  <c r="O110" i="7" s="1"/>
  <c r="L111" i="7"/>
  <c r="L112" i="7"/>
  <c r="P112" i="7" s="1"/>
  <c r="L113" i="7"/>
  <c r="P113" i="7" s="1"/>
  <c r="L114" i="7"/>
  <c r="P114" i="7" s="1"/>
  <c r="L115" i="7"/>
  <c r="L116" i="7"/>
  <c r="P116" i="7" s="1"/>
  <c r="L117" i="7"/>
  <c r="L118" i="7"/>
  <c r="L119" i="7"/>
  <c r="L120" i="7"/>
  <c r="L121" i="7"/>
  <c r="P121" i="7" s="1"/>
  <c r="L122" i="7"/>
  <c r="L123" i="7"/>
  <c r="L124" i="7"/>
  <c r="P124" i="7" s="1"/>
  <c r="L125" i="7"/>
  <c r="L126" i="7"/>
  <c r="L127" i="7"/>
  <c r="L128" i="7"/>
  <c r="T128" i="7" s="1"/>
  <c r="L129" i="7"/>
  <c r="T129" i="7" s="1"/>
  <c r="L130" i="7"/>
  <c r="P130" i="7" s="1"/>
  <c r="L131" i="7"/>
  <c r="L132" i="7"/>
  <c r="P132" i="7" s="1"/>
  <c r="L133" i="7"/>
  <c r="L134" i="7"/>
  <c r="L135" i="7"/>
  <c r="L136" i="7"/>
  <c r="P136" i="7" s="1"/>
  <c r="L137" i="7"/>
  <c r="P137" i="7" s="1"/>
  <c r="L138" i="7"/>
  <c r="L139" i="7"/>
  <c r="L140" i="7"/>
  <c r="O140" i="7" s="1"/>
  <c r="L141" i="7"/>
  <c r="L142" i="7"/>
  <c r="L143" i="7"/>
  <c r="P143" i="7" s="1"/>
  <c r="L144" i="7"/>
  <c r="P144" i="7" s="1"/>
  <c r="L145" i="7"/>
  <c r="L146" i="7"/>
  <c r="P146" i="7" s="1"/>
  <c r="L147" i="7"/>
  <c r="L2" i="7"/>
  <c r="U2" i="7" s="1"/>
  <c r="A3" i="7"/>
  <c r="A4" i="7"/>
  <c r="D4" i="7" s="1"/>
  <c r="A5" i="7"/>
  <c r="A6" i="7"/>
  <c r="D6" i="7" s="1"/>
  <c r="A7" i="7"/>
  <c r="D7" i="7" s="1"/>
  <c r="A8" i="7"/>
  <c r="A9" i="7"/>
  <c r="A10" i="7"/>
  <c r="J10" i="7" s="1"/>
  <c r="A11" i="7"/>
  <c r="A12" i="7"/>
  <c r="F12" i="7" s="1"/>
  <c r="A13" i="7"/>
  <c r="A14" i="7"/>
  <c r="D14" i="7" s="1"/>
  <c r="A15" i="7"/>
  <c r="I15" i="7" s="1"/>
  <c r="A16" i="7"/>
  <c r="A17" i="7"/>
  <c r="A18" i="7"/>
  <c r="D18" i="7" s="1"/>
  <c r="A19" i="7"/>
  <c r="A20" i="7"/>
  <c r="D20" i="7" s="1"/>
  <c r="A21" i="7"/>
  <c r="A22" i="7"/>
  <c r="H22" i="7" s="1"/>
  <c r="A23" i="7"/>
  <c r="D23" i="7" s="1"/>
  <c r="A24" i="7"/>
  <c r="A25" i="7"/>
  <c r="A26" i="7"/>
  <c r="F26" i="7" s="1"/>
  <c r="A27" i="7"/>
  <c r="A28" i="7"/>
  <c r="F28" i="7" s="1"/>
  <c r="A29" i="7"/>
  <c r="A30" i="7"/>
  <c r="D30" i="7" s="1"/>
  <c r="A31" i="7"/>
  <c r="J31" i="7" s="1"/>
  <c r="A32" i="7"/>
  <c r="A33" i="7"/>
  <c r="A34" i="7"/>
  <c r="D34" i="7" s="1"/>
  <c r="A35" i="7"/>
  <c r="A36" i="7"/>
  <c r="A37" i="7"/>
  <c r="A38" i="7"/>
  <c r="D38" i="7" s="1"/>
  <c r="A39" i="7"/>
  <c r="J39" i="7" s="1"/>
  <c r="A40" i="7"/>
  <c r="A41" i="7"/>
  <c r="A42" i="7"/>
  <c r="J42" i="7" s="1"/>
  <c r="A43" i="7"/>
  <c r="A44" i="7"/>
  <c r="F44" i="7" s="1"/>
  <c r="A45" i="7"/>
  <c r="A46" i="7"/>
  <c r="D46" i="7" s="1"/>
  <c r="A47" i="7"/>
  <c r="I47" i="7" s="1"/>
  <c r="A48" i="7"/>
  <c r="A49" i="7"/>
  <c r="A50" i="7"/>
  <c r="D50" i="7" s="1"/>
  <c r="A51" i="7"/>
  <c r="A52" i="7"/>
  <c r="D52" i="7" s="1"/>
  <c r="A53" i="7"/>
  <c r="A54" i="7"/>
  <c r="H54" i="7" s="1"/>
  <c r="A55" i="7"/>
  <c r="J55" i="7" s="1"/>
  <c r="A56" i="7"/>
  <c r="A57" i="7"/>
  <c r="A58" i="7"/>
  <c r="F58" i="7" s="1"/>
  <c r="A59" i="7"/>
  <c r="A60" i="7"/>
  <c r="F60" i="7" s="1"/>
  <c r="A61" i="7"/>
  <c r="A62" i="7"/>
  <c r="D62" i="7" s="1"/>
  <c r="A63" i="7"/>
  <c r="A64" i="7"/>
  <c r="A65" i="7"/>
  <c r="A66" i="7"/>
  <c r="D66" i="7" s="1"/>
  <c r="A67" i="7"/>
  <c r="A68" i="7"/>
  <c r="D68" i="7" s="1"/>
  <c r="A69" i="7"/>
  <c r="A70" i="7"/>
  <c r="D70" i="7" s="1"/>
  <c r="A71" i="7"/>
  <c r="D71" i="7" s="1"/>
  <c r="A72" i="7"/>
  <c r="A73" i="7"/>
  <c r="A74" i="7"/>
  <c r="J74" i="7" s="1"/>
  <c r="A75" i="7"/>
  <c r="A76" i="7"/>
  <c r="F76" i="7" s="1"/>
  <c r="A77" i="7"/>
  <c r="A78" i="7"/>
  <c r="A79" i="7"/>
  <c r="I79" i="7" s="1"/>
  <c r="A80" i="7"/>
  <c r="A81" i="7"/>
  <c r="A82" i="7"/>
  <c r="A83" i="7"/>
  <c r="A84" i="7"/>
  <c r="D84" i="7" s="1"/>
  <c r="A85" i="7"/>
  <c r="A86" i="7"/>
  <c r="H86" i="7" s="1"/>
  <c r="A87" i="7"/>
  <c r="A88" i="7"/>
  <c r="A89" i="7"/>
  <c r="A90" i="7"/>
  <c r="F90" i="7" s="1"/>
  <c r="A91" i="7"/>
  <c r="A92" i="7"/>
  <c r="F92" i="7" s="1"/>
  <c r="A93" i="7"/>
  <c r="A94" i="7"/>
  <c r="D94" i="7" s="1"/>
  <c r="A95" i="7"/>
  <c r="J95" i="7" s="1"/>
  <c r="A96" i="7"/>
  <c r="A97" i="7"/>
  <c r="A98" i="7"/>
  <c r="D98" i="7" s="1"/>
  <c r="A99" i="7"/>
  <c r="A100" i="7"/>
  <c r="A101" i="7"/>
  <c r="A102" i="7"/>
  <c r="D102" i="7" s="1"/>
  <c r="A103" i="7"/>
  <c r="J103" i="7" s="1"/>
  <c r="A104" i="7"/>
  <c r="A105" i="7"/>
  <c r="A106" i="7"/>
  <c r="J106" i="7" s="1"/>
  <c r="A107" i="7"/>
  <c r="A108" i="7"/>
  <c r="D108" i="7" s="1"/>
  <c r="A109" i="7"/>
  <c r="A110" i="7"/>
  <c r="D110" i="7" s="1"/>
  <c r="A111" i="7"/>
  <c r="A112" i="7"/>
  <c r="A113" i="7"/>
  <c r="A114" i="7"/>
  <c r="D114" i="7" s="1"/>
  <c r="A115" i="7"/>
  <c r="A116" i="7"/>
  <c r="D116" i="7" s="1"/>
  <c r="A117" i="7"/>
  <c r="A118" i="7"/>
  <c r="H118" i="7" s="1"/>
  <c r="A119" i="7"/>
  <c r="H119" i="7" s="1"/>
  <c r="A120" i="7"/>
  <c r="A121" i="7"/>
  <c r="A122" i="7"/>
  <c r="D122" i="7" s="1"/>
  <c r="A123" i="7"/>
  <c r="A124" i="7"/>
  <c r="D124" i="7" s="1"/>
  <c r="A125" i="7"/>
  <c r="A126" i="7"/>
  <c r="A127" i="7"/>
  <c r="D127" i="7" s="1"/>
  <c r="A128" i="7"/>
  <c r="A129" i="7"/>
  <c r="A130" i="7"/>
  <c r="D130" i="7" s="1"/>
  <c r="A131" i="7"/>
  <c r="A132" i="7"/>
  <c r="A133" i="7"/>
  <c r="A134" i="7"/>
  <c r="H134" i="7" s="1"/>
  <c r="A135" i="7"/>
  <c r="A136" i="7"/>
  <c r="A137" i="7"/>
  <c r="A138" i="7"/>
  <c r="J138" i="7" s="1"/>
  <c r="A139" i="7"/>
  <c r="A140" i="7"/>
  <c r="D140" i="7" s="1"/>
  <c r="A141" i="7"/>
  <c r="A142" i="7"/>
  <c r="D142" i="7" s="1"/>
  <c r="A143" i="7"/>
  <c r="I143" i="7" s="1"/>
  <c r="A144" i="7"/>
  <c r="A145" i="7"/>
  <c r="A146" i="7"/>
  <c r="D146" i="7" s="1"/>
  <c r="A147" i="7"/>
  <c r="A2" i="7"/>
  <c r="D2" i="7" s="1"/>
  <c r="N3" i="4"/>
  <c r="N4" i="4"/>
  <c r="N5" i="4"/>
  <c r="N6" i="4"/>
  <c r="N10" i="4"/>
  <c r="N11" i="4"/>
  <c r="N12" i="4"/>
  <c r="N14" i="4"/>
  <c r="N15" i="4"/>
  <c r="N16" i="4"/>
  <c r="N17" i="4"/>
  <c r="N19" i="4"/>
  <c r="N20" i="4"/>
  <c r="N21" i="4"/>
  <c r="N22" i="4"/>
  <c r="N23" i="4"/>
  <c r="N24" i="4"/>
  <c r="N25" i="4"/>
  <c r="N26" i="4"/>
  <c r="N27" i="4"/>
  <c r="N28" i="4"/>
  <c r="N29" i="4"/>
  <c r="N30" i="4"/>
  <c r="N31" i="4"/>
  <c r="N32" i="4"/>
  <c r="N33" i="4"/>
  <c r="N35" i="4"/>
  <c r="N36" i="4"/>
  <c r="N37"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4" i="4"/>
  <c r="N75" i="4"/>
  <c r="N76" i="4"/>
  <c r="N77" i="4"/>
  <c r="N78" i="4"/>
  <c r="N79" i="4"/>
  <c r="N80" i="4"/>
  <c r="N81" i="4"/>
  <c r="N82" i="4"/>
  <c r="N83" i="4"/>
  <c r="N84" i="4"/>
  <c r="N85" i="4"/>
  <c r="N87" i="4"/>
  <c r="N88" i="4"/>
  <c r="N89" i="4"/>
  <c r="N90" i="4"/>
  <c r="N91" i="4"/>
  <c r="N92" i="4"/>
  <c r="N93" i="4"/>
  <c r="N94" i="4"/>
  <c r="N95" i="4"/>
  <c r="N96" i="4"/>
  <c r="N97" i="4"/>
  <c r="N98"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1" i="4"/>
  <c r="N142" i="4"/>
  <c r="N143" i="4"/>
  <c r="N145" i="4"/>
  <c r="N146" i="4"/>
  <c r="N147" i="4"/>
  <c r="N2" i="4"/>
  <c r="M3" i="4"/>
  <c r="M4" i="4"/>
  <c r="M5" i="4"/>
  <c r="M6" i="4"/>
  <c r="M7" i="4"/>
  <c r="M8" i="4"/>
  <c r="M9" i="4"/>
  <c r="M10" i="4"/>
  <c r="M11" i="4"/>
  <c r="M12" i="4"/>
  <c r="M13" i="4"/>
  <c r="M15" i="4"/>
  <c r="M16" i="4"/>
  <c r="M17" i="4"/>
  <c r="M18" i="4"/>
  <c r="M19" i="4"/>
  <c r="M20" i="4"/>
  <c r="M21" i="4"/>
  <c r="M22" i="4"/>
  <c r="M23" i="4"/>
  <c r="M24" i="4"/>
  <c r="M26" i="4"/>
  <c r="M27" i="4"/>
  <c r="M28" i="4"/>
  <c r="M29" i="4"/>
  <c r="M30" i="4"/>
  <c r="M31" i="4"/>
  <c r="M32" i="4"/>
  <c r="M33" i="4"/>
  <c r="M34" i="4"/>
  <c r="M35" i="4"/>
  <c r="M36" i="4"/>
  <c r="M37" i="4"/>
  <c r="M38" i="4"/>
  <c r="M39" i="4"/>
  <c r="M40" i="4"/>
  <c r="M41" i="4"/>
  <c r="M42" i="4"/>
  <c r="M43" i="4"/>
  <c r="M44" i="4"/>
  <c r="M45" i="4"/>
  <c r="M46" i="4"/>
  <c r="M47" i="4"/>
  <c r="M53" i="4"/>
  <c r="M54" i="4"/>
  <c r="M55" i="4"/>
  <c r="M56" i="4"/>
  <c r="M57" i="4"/>
  <c r="M58" i="4"/>
  <c r="M59" i="4"/>
  <c r="M60" i="4"/>
  <c r="M61" i="4"/>
  <c r="M62" i="4"/>
  <c r="M63" i="4"/>
  <c r="M64" i="4"/>
  <c r="M66" i="4"/>
  <c r="M69" i="4"/>
  <c r="M70" i="4"/>
  <c r="M71" i="4"/>
  <c r="M72" i="4"/>
  <c r="M73" i="4"/>
  <c r="M74" i="4"/>
  <c r="M75" i="4"/>
  <c r="M76" i="4"/>
  <c r="M77" i="4"/>
  <c r="M78" i="4"/>
  <c r="M79" i="4"/>
  <c r="M81" i="4"/>
  <c r="M82" i="4"/>
  <c r="M83" i="4"/>
  <c r="M84" i="4"/>
  <c r="M85" i="4"/>
  <c r="M86" i="4"/>
  <c r="M87" i="4"/>
  <c r="M88" i="4"/>
  <c r="M89" i="4"/>
  <c r="M90" i="4"/>
  <c r="M91" i="4"/>
  <c r="M92" i="4"/>
  <c r="M93" i="4"/>
  <c r="M94" i="4"/>
  <c r="M95" i="4"/>
  <c r="M97" i="4"/>
  <c r="M98" i="4"/>
  <c r="M99" i="4"/>
  <c r="M100" i="4"/>
  <c r="M101" i="4"/>
  <c r="M102" i="4"/>
  <c r="M104" i="4"/>
  <c r="M105" i="4"/>
  <c r="M106" i="4"/>
  <c r="M107" i="4"/>
  <c r="M110" i="4"/>
  <c r="M111" i="4"/>
  <c r="M112" i="4"/>
  <c r="M113" i="4"/>
  <c r="M114" i="4"/>
  <c r="M115" i="4"/>
  <c r="M116" i="4"/>
  <c r="M117" i="4"/>
  <c r="M118" i="4"/>
  <c r="M119" i="4"/>
  <c r="M120" i="4"/>
  <c r="M121" i="4"/>
  <c r="M122" i="4"/>
  <c r="M123" i="4"/>
  <c r="M124" i="4"/>
  <c r="M125" i="4"/>
  <c r="M126" i="4"/>
  <c r="M127" i="4"/>
  <c r="M128" i="4"/>
  <c r="M129" i="4"/>
  <c r="M130" i="4"/>
  <c r="M131" i="4"/>
  <c r="M132" i="4"/>
  <c r="M134" i="4"/>
  <c r="M135" i="4"/>
  <c r="M137" i="4"/>
  <c r="M138" i="4"/>
  <c r="M139" i="4"/>
  <c r="M140" i="4"/>
  <c r="M141" i="4"/>
  <c r="M142" i="4"/>
  <c r="M143" i="4"/>
  <c r="M144" i="4"/>
  <c r="M145" i="4"/>
  <c r="M146" i="4"/>
  <c r="M147" i="4"/>
  <c r="M2" i="4"/>
  <c r="L5" i="4"/>
  <c r="L6" i="4"/>
  <c r="L7" i="4"/>
  <c r="L8" i="4"/>
  <c r="L9" i="4"/>
  <c r="L13" i="4"/>
  <c r="L14" i="4"/>
  <c r="L18" i="4"/>
  <c r="L19" i="4"/>
  <c r="L20" i="4"/>
  <c r="L21" i="4"/>
  <c r="L23" i="4"/>
  <c r="L24" i="4"/>
  <c r="L25" i="4"/>
  <c r="L28" i="4"/>
  <c r="L29" i="4"/>
  <c r="L34" i="4"/>
  <c r="L36" i="4"/>
  <c r="L37" i="4"/>
  <c r="L38" i="4"/>
  <c r="L40" i="4"/>
  <c r="L41" i="4"/>
  <c r="L44" i="4"/>
  <c r="L45" i="4"/>
  <c r="L48" i="4"/>
  <c r="L49" i="4"/>
  <c r="L50" i="4"/>
  <c r="L51" i="4"/>
  <c r="L52" i="4"/>
  <c r="L56" i="4"/>
  <c r="L57" i="4"/>
  <c r="L58" i="4"/>
  <c r="L59" i="4"/>
  <c r="L63" i="4"/>
  <c r="L64" i="4"/>
  <c r="L65" i="4"/>
  <c r="L67" i="4"/>
  <c r="L68" i="4"/>
  <c r="L70" i="4"/>
  <c r="L71" i="4"/>
  <c r="L72" i="4"/>
  <c r="L73" i="4"/>
  <c r="L76" i="4"/>
  <c r="L77" i="4"/>
  <c r="L78" i="4"/>
  <c r="L79" i="4"/>
  <c r="L80" i="4"/>
  <c r="L81" i="4"/>
  <c r="L82" i="4"/>
  <c r="L83" i="4"/>
  <c r="L84" i="4"/>
  <c r="L86" i="4"/>
  <c r="L87" i="4"/>
  <c r="L88" i="4"/>
  <c r="L89" i="4"/>
  <c r="L93" i="4"/>
  <c r="L94" i="4"/>
  <c r="L95" i="4"/>
  <c r="L96" i="4"/>
  <c r="L97" i="4"/>
  <c r="L98" i="4"/>
  <c r="L99" i="4"/>
  <c r="L100" i="4"/>
  <c r="L101" i="4"/>
  <c r="L103" i="4"/>
  <c r="L104" i="4"/>
  <c r="L107" i="4"/>
  <c r="L108" i="4"/>
  <c r="L109" i="4"/>
  <c r="L110" i="4"/>
  <c r="L111" i="4"/>
  <c r="L113" i="4"/>
  <c r="L114" i="4"/>
  <c r="L116" i="4"/>
  <c r="L117" i="4"/>
  <c r="L118" i="4"/>
  <c r="L119" i="4"/>
  <c r="L120" i="4"/>
  <c r="L121" i="4"/>
  <c r="L122" i="4"/>
  <c r="L123" i="4"/>
  <c r="L125" i="4"/>
  <c r="L126" i="4"/>
  <c r="L127" i="4"/>
  <c r="L130" i="4"/>
  <c r="L131" i="4"/>
  <c r="L132" i="4"/>
  <c r="L133" i="4"/>
  <c r="L134" i="4"/>
  <c r="L135" i="4"/>
  <c r="L136" i="4"/>
  <c r="L137" i="4"/>
  <c r="L138" i="4"/>
  <c r="L139" i="4"/>
  <c r="L140" i="4"/>
  <c r="L144" i="4"/>
  <c r="L145" i="4"/>
  <c r="L147" i="4"/>
  <c r="L2" i="4"/>
  <c r="K3" i="4"/>
  <c r="K4" i="4"/>
  <c r="K6" i="4"/>
  <c r="K7" i="4"/>
  <c r="K8" i="4"/>
  <c r="K9" i="4"/>
  <c r="K10" i="4"/>
  <c r="K11" i="4"/>
  <c r="K12" i="4"/>
  <c r="K13" i="4"/>
  <c r="K14" i="4"/>
  <c r="K15" i="4"/>
  <c r="K16" i="4"/>
  <c r="K17" i="4"/>
  <c r="K18" i="4"/>
  <c r="K19" i="4"/>
  <c r="K20" i="4"/>
  <c r="K21" i="4"/>
  <c r="K22" i="4"/>
  <c r="K23" i="4"/>
  <c r="K25" i="4"/>
  <c r="K26" i="4"/>
  <c r="K27" i="4"/>
  <c r="K30" i="4"/>
  <c r="K31" i="4"/>
  <c r="K32" i="4"/>
  <c r="K33" i="4"/>
  <c r="K34" i="4"/>
  <c r="K35" i="4"/>
  <c r="K36" i="4"/>
  <c r="K38" i="4"/>
  <c r="K39" i="4"/>
  <c r="K42" i="4"/>
  <c r="K43" i="4"/>
  <c r="K46" i="4"/>
  <c r="K47" i="4"/>
  <c r="K48" i="4"/>
  <c r="K49" i="4"/>
  <c r="K50" i="4"/>
  <c r="K51" i="4"/>
  <c r="K52" i="4"/>
  <c r="K53" i="4"/>
  <c r="K54" i="4"/>
  <c r="K55" i="4"/>
  <c r="K57" i="4"/>
  <c r="K58" i="4"/>
  <c r="K60" i="4"/>
  <c r="K61" i="4"/>
  <c r="K62" i="4"/>
  <c r="K63" i="4"/>
  <c r="K65" i="4"/>
  <c r="K66" i="4"/>
  <c r="K67" i="4"/>
  <c r="K68" i="4"/>
  <c r="K69" i="4"/>
  <c r="K70" i="4"/>
  <c r="K72" i="4"/>
  <c r="K73" i="4"/>
  <c r="K74" i="4"/>
  <c r="K75" i="4"/>
  <c r="K78" i="4"/>
  <c r="K80" i="4"/>
  <c r="K81" i="4"/>
  <c r="K82" i="4"/>
  <c r="K83" i="4"/>
  <c r="K84" i="4"/>
  <c r="K85" i="4"/>
  <c r="K86" i="4"/>
  <c r="K89" i="4"/>
  <c r="K90" i="4"/>
  <c r="K91" i="4"/>
  <c r="K92" i="4"/>
  <c r="K96" i="4"/>
  <c r="K97" i="4"/>
  <c r="K98" i="4"/>
  <c r="K99" i="4"/>
  <c r="K100" i="4"/>
  <c r="K102" i="4"/>
  <c r="K103" i="4"/>
  <c r="K104" i="4"/>
  <c r="K105" i="4"/>
  <c r="K106" i="4"/>
  <c r="K107" i="4"/>
  <c r="K108" i="4"/>
  <c r="K109" i="4"/>
  <c r="K110" i="4"/>
  <c r="K112" i="4"/>
  <c r="K113" i="4"/>
  <c r="K115" i="4"/>
  <c r="K117" i="4"/>
  <c r="K124" i="4"/>
  <c r="K126" i="4"/>
  <c r="K127" i="4"/>
  <c r="K128" i="4"/>
  <c r="K129" i="4"/>
  <c r="K130" i="4"/>
  <c r="K131" i="4"/>
  <c r="K132" i="4"/>
  <c r="K133" i="4"/>
  <c r="K136" i="4"/>
  <c r="K137" i="4"/>
  <c r="K138" i="4"/>
  <c r="K140" i="4"/>
  <c r="K141" i="4"/>
  <c r="K142" i="4"/>
  <c r="K143" i="4"/>
  <c r="K144" i="4"/>
  <c r="K146" i="4"/>
  <c r="K147" i="4"/>
  <c r="K2" i="4"/>
  <c r="J3" i="4"/>
  <c r="J4" i="4"/>
  <c r="J5" i="4"/>
  <c r="J7" i="4"/>
  <c r="J8" i="4"/>
  <c r="J9" i="4"/>
  <c r="J10" i="4"/>
  <c r="J11" i="4"/>
  <c r="J12" i="4"/>
  <c r="J13" i="4"/>
  <c r="J14" i="4"/>
  <c r="J15" i="4"/>
  <c r="J16" i="4"/>
  <c r="J17" i="4"/>
  <c r="J18" i="4"/>
  <c r="J22" i="4"/>
  <c r="J24" i="4"/>
  <c r="J25" i="4"/>
  <c r="J26" i="4"/>
  <c r="J27" i="4"/>
  <c r="J28" i="4"/>
  <c r="J29" i="4"/>
  <c r="J30" i="4"/>
  <c r="J31" i="4"/>
  <c r="J32" i="4"/>
  <c r="J33" i="4"/>
  <c r="J34" i="4"/>
  <c r="J35" i="4"/>
  <c r="J37" i="4"/>
  <c r="J38" i="4"/>
  <c r="J39" i="4"/>
  <c r="J40" i="4"/>
  <c r="J41" i="4"/>
  <c r="J42" i="4"/>
  <c r="J43" i="4"/>
  <c r="J44" i="4"/>
  <c r="J45" i="4"/>
  <c r="J46" i="4"/>
  <c r="J47" i="4"/>
  <c r="J48" i="4"/>
  <c r="J49" i="4"/>
  <c r="J50" i="4"/>
  <c r="J51" i="4"/>
  <c r="J52" i="4"/>
  <c r="J53" i="4"/>
  <c r="J54" i="4"/>
  <c r="J55" i="4"/>
  <c r="J56" i="4"/>
  <c r="J59" i="4"/>
  <c r="J60" i="4"/>
  <c r="J61" i="4"/>
  <c r="J62" i="4"/>
  <c r="J64" i="4"/>
  <c r="J65" i="4"/>
  <c r="J66" i="4"/>
  <c r="J67" i="4"/>
  <c r="J68" i="4"/>
  <c r="J69" i="4"/>
  <c r="J71" i="4"/>
  <c r="J73" i="4"/>
  <c r="J74" i="4"/>
  <c r="J75" i="4"/>
  <c r="J76" i="4"/>
  <c r="J77" i="4"/>
  <c r="J79" i="4"/>
  <c r="J80" i="4"/>
  <c r="J85" i="4"/>
  <c r="J86" i="4"/>
  <c r="J87" i="4"/>
  <c r="J88" i="4"/>
  <c r="J90" i="4"/>
  <c r="J91" i="4"/>
  <c r="J92" i="4"/>
  <c r="J93" i="4"/>
  <c r="J94" i="4"/>
  <c r="J95" i="4"/>
  <c r="J96" i="4"/>
  <c r="J99" i="4"/>
  <c r="J101" i="4"/>
  <c r="J102" i="4"/>
  <c r="J103" i="4"/>
  <c r="J105" i="4"/>
  <c r="J106" i="4"/>
  <c r="J108" i="4"/>
  <c r="J109" i="4"/>
  <c r="J111" i="4"/>
  <c r="J112" i="4"/>
  <c r="J114" i="4"/>
  <c r="J115" i="4"/>
  <c r="J116" i="4"/>
  <c r="J118" i="4"/>
  <c r="J119" i="4"/>
  <c r="J120" i="4"/>
  <c r="J121" i="4"/>
  <c r="J122" i="4"/>
  <c r="J123" i="4"/>
  <c r="J124" i="4"/>
  <c r="J125" i="4"/>
  <c r="J128" i="4"/>
  <c r="J129" i="4"/>
  <c r="J133" i="4"/>
  <c r="J134" i="4"/>
  <c r="J135" i="4"/>
  <c r="J136" i="4"/>
  <c r="J139" i="4"/>
  <c r="J140" i="4"/>
  <c r="J141" i="4"/>
  <c r="J142" i="4"/>
  <c r="J143" i="4"/>
  <c r="J144" i="4"/>
  <c r="J145" i="4"/>
  <c r="J146" i="4"/>
  <c r="J147" i="4"/>
  <c r="H3" i="4"/>
  <c r="H4" i="4"/>
  <c r="H5" i="4"/>
  <c r="H6" i="4"/>
  <c r="H10" i="4"/>
  <c r="H11" i="4"/>
  <c r="H12" i="4"/>
  <c r="H14" i="4"/>
  <c r="H15" i="4"/>
  <c r="H16" i="4"/>
  <c r="H17" i="4"/>
  <c r="H19" i="4"/>
  <c r="H20" i="4"/>
  <c r="H21" i="4"/>
  <c r="H22" i="4"/>
  <c r="H23" i="4"/>
  <c r="H24" i="4"/>
  <c r="H25" i="4"/>
  <c r="H26" i="4"/>
  <c r="H27" i="4"/>
  <c r="H28" i="4"/>
  <c r="H29" i="4"/>
  <c r="H30" i="4"/>
  <c r="H31" i="4"/>
  <c r="H32" i="4"/>
  <c r="H33" i="4"/>
  <c r="H35" i="4"/>
  <c r="H36" i="4"/>
  <c r="H37"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4" i="4"/>
  <c r="H75" i="4"/>
  <c r="H76" i="4"/>
  <c r="H77" i="4"/>
  <c r="H78" i="4"/>
  <c r="H79" i="4"/>
  <c r="H80" i="4"/>
  <c r="H81" i="4"/>
  <c r="H82" i="4"/>
  <c r="H83" i="4"/>
  <c r="H84" i="4"/>
  <c r="H85" i="4"/>
  <c r="H87" i="4"/>
  <c r="H88" i="4"/>
  <c r="H89" i="4"/>
  <c r="H90" i="4"/>
  <c r="H91" i="4"/>
  <c r="H92" i="4"/>
  <c r="H93" i="4"/>
  <c r="H94" i="4"/>
  <c r="H95" i="4"/>
  <c r="H96" i="4"/>
  <c r="H97" i="4"/>
  <c r="H98"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1" i="4"/>
  <c r="H142" i="4"/>
  <c r="H143" i="4"/>
  <c r="H145" i="4"/>
  <c r="H146" i="4"/>
  <c r="H147" i="4"/>
  <c r="H2" i="4"/>
  <c r="G3" i="4"/>
  <c r="G4" i="4"/>
  <c r="G5" i="4"/>
  <c r="G6" i="4"/>
  <c r="G7" i="4"/>
  <c r="G8" i="4"/>
  <c r="G9" i="4"/>
  <c r="G10" i="4"/>
  <c r="G11" i="4"/>
  <c r="G12" i="4"/>
  <c r="G13" i="4"/>
  <c r="G15" i="4"/>
  <c r="G16" i="4"/>
  <c r="G17" i="4"/>
  <c r="G18" i="4"/>
  <c r="G19" i="4"/>
  <c r="G20" i="4"/>
  <c r="G21" i="4"/>
  <c r="G22" i="4"/>
  <c r="G23" i="4"/>
  <c r="G24" i="4"/>
  <c r="G26" i="4"/>
  <c r="G27" i="4"/>
  <c r="G28" i="4"/>
  <c r="G29" i="4"/>
  <c r="G30" i="4"/>
  <c r="G31" i="4"/>
  <c r="G32" i="4"/>
  <c r="G33" i="4"/>
  <c r="G34" i="4"/>
  <c r="G35" i="4"/>
  <c r="G36" i="4"/>
  <c r="G37" i="4"/>
  <c r="G38" i="4"/>
  <c r="G39" i="4"/>
  <c r="G40" i="4"/>
  <c r="G41" i="4"/>
  <c r="G42" i="4"/>
  <c r="G43" i="4"/>
  <c r="G44" i="4"/>
  <c r="G45" i="4"/>
  <c r="G46" i="4"/>
  <c r="G47" i="4"/>
  <c r="G53" i="4"/>
  <c r="G54" i="4"/>
  <c r="G55" i="4"/>
  <c r="G56" i="4"/>
  <c r="G57" i="4"/>
  <c r="G58" i="4"/>
  <c r="G59" i="4"/>
  <c r="G60" i="4"/>
  <c r="G61" i="4"/>
  <c r="G62" i="4"/>
  <c r="G63" i="4"/>
  <c r="G64" i="4"/>
  <c r="G66" i="4"/>
  <c r="G69" i="4"/>
  <c r="G70" i="4"/>
  <c r="G71" i="4"/>
  <c r="G72" i="4"/>
  <c r="G73" i="4"/>
  <c r="G74" i="4"/>
  <c r="G75" i="4"/>
  <c r="G76" i="4"/>
  <c r="G77" i="4"/>
  <c r="G78" i="4"/>
  <c r="G79" i="4"/>
  <c r="G81" i="4"/>
  <c r="G82" i="4"/>
  <c r="G83" i="4"/>
  <c r="G84" i="4"/>
  <c r="G85" i="4"/>
  <c r="G86" i="4"/>
  <c r="G87" i="4"/>
  <c r="G88" i="4"/>
  <c r="G89" i="4"/>
  <c r="G90" i="4"/>
  <c r="G91" i="4"/>
  <c r="G92" i="4"/>
  <c r="G93" i="4"/>
  <c r="G94" i="4"/>
  <c r="G95" i="4"/>
  <c r="G97" i="4"/>
  <c r="G98" i="4"/>
  <c r="G99" i="4"/>
  <c r="G100" i="4"/>
  <c r="G101" i="4"/>
  <c r="G102" i="4"/>
  <c r="G104" i="4"/>
  <c r="G105" i="4"/>
  <c r="G106" i="4"/>
  <c r="G107" i="4"/>
  <c r="G110" i="4"/>
  <c r="G111" i="4"/>
  <c r="G112" i="4"/>
  <c r="G113" i="4"/>
  <c r="G114" i="4"/>
  <c r="G115" i="4"/>
  <c r="G116" i="4"/>
  <c r="G117" i="4"/>
  <c r="G118" i="4"/>
  <c r="G119" i="4"/>
  <c r="G120" i="4"/>
  <c r="G121" i="4"/>
  <c r="G122" i="4"/>
  <c r="G123" i="4"/>
  <c r="G124" i="4"/>
  <c r="G125" i="4"/>
  <c r="G126" i="4"/>
  <c r="G127" i="4"/>
  <c r="G128" i="4"/>
  <c r="G129" i="4"/>
  <c r="G130" i="4"/>
  <c r="G131" i="4"/>
  <c r="G132" i="4"/>
  <c r="G134" i="4"/>
  <c r="G135" i="4"/>
  <c r="G137" i="4"/>
  <c r="G138" i="4"/>
  <c r="G139" i="4"/>
  <c r="G140" i="4"/>
  <c r="G141" i="4"/>
  <c r="G142" i="4"/>
  <c r="G143" i="4"/>
  <c r="G144" i="4"/>
  <c r="G145" i="4"/>
  <c r="G146" i="4"/>
  <c r="G147" i="4"/>
  <c r="G2" i="4"/>
  <c r="F5" i="4"/>
  <c r="F6" i="4"/>
  <c r="F7" i="4"/>
  <c r="F8" i="4"/>
  <c r="F9" i="4"/>
  <c r="F13" i="4"/>
  <c r="F14" i="4"/>
  <c r="F18" i="4"/>
  <c r="F19" i="4"/>
  <c r="F20" i="4"/>
  <c r="F21" i="4"/>
  <c r="F23" i="4"/>
  <c r="F24" i="4"/>
  <c r="F25" i="4"/>
  <c r="F28" i="4"/>
  <c r="F29" i="4"/>
  <c r="F34" i="4"/>
  <c r="F36" i="4"/>
  <c r="F37" i="4"/>
  <c r="F38" i="4"/>
  <c r="F40" i="4"/>
  <c r="F41" i="4"/>
  <c r="F44" i="4"/>
  <c r="F45" i="4"/>
  <c r="F48" i="4"/>
  <c r="F49" i="4"/>
  <c r="F50" i="4"/>
  <c r="F51" i="4"/>
  <c r="F52" i="4"/>
  <c r="F56" i="4"/>
  <c r="F57" i="4"/>
  <c r="F58" i="4"/>
  <c r="F59" i="4"/>
  <c r="F63" i="4"/>
  <c r="F64" i="4"/>
  <c r="F65" i="4"/>
  <c r="F67" i="4"/>
  <c r="F68" i="4"/>
  <c r="F70" i="4"/>
  <c r="F71" i="4"/>
  <c r="F72" i="4"/>
  <c r="F73" i="4"/>
  <c r="F76" i="4"/>
  <c r="F77" i="4"/>
  <c r="F78" i="4"/>
  <c r="F79" i="4"/>
  <c r="F80" i="4"/>
  <c r="F81" i="4"/>
  <c r="F82" i="4"/>
  <c r="F83" i="4"/>
  <c r="F84" i="4"/>
  <c r="F86" i="4"/>
  <c r="F87" i="4"/>
  <c r="F88" i="4"/>
  <c r="F89" i="4"/>
  <c r="F93" i="4"/>
  <c r="F94" i="4"/>
  <c r="F95" i="4"/>
  <c r="F96" i="4"/>
  <c r="F97" i="4"/>
  <c r="F98" i="4"/>
  <c r="F99" i="4"/>
  <c r="F100" i="4"/>
  <c r="F101" i="4"/>
  <c r="F103" i="4"/>
  <c r="F104" i="4"/>
  <c r="F107" i="4"/>
  <c r="F108" i="4"/>
  <c r="F109" i="4"/>
  <c r="F110" i="4"/>
  <c r="F111" i="4"/>
  <c r="F113" i="4"/>
  <c r="F114" i="4"/>
  <c r="F116" i="4"/>
  <c r="F117" i="4"/>
  <c r="F118" i="4"/>
  <c r="F119" i="4"/>
  <c r="F120" i="4"/>
  <c r="F121" i="4"/>
  <c r="F122" i="4"/>
  <c r="F123" i="4"/>
  <c r="F125" i="4"/>
  <c r="F126" i="4"/>
  <c r="F127" i="4"/>
  <c r="F130" i="4"/>
  <c r="F131" i="4"/>
  <c r="F132" i="4"/>
  <c r="F133" i="4"/>
  <c r="F134" i="4"/>
  <c r="F135" i="4"/>
  <c r="F136" i="4"/>
  <c r="F137" i="4"/>
  <c r="F138" i="4"/>
  <c r="F139" i="4"/>
  <c r="F140" i="4"/>
  <c r="F144" i="4"/>
  <c r="F145" i="4"/>
  <c r="F147" i="4"/>
  <c r="F2" i="4"/>
  <c r="E3" i="4"/>
  <c r="E4" i="4"/>
  <c r="E6" i="4"/>
  <c r="E7" i="4"/>
  <c r="E8" i="4"/>
  <c r="E9" i="4"/>
  <c r="E10" i="4"/>
  <c r="E11" i="4"/>
  <c r="E12" i="4"/>
  <c r="E13" i="4"/>
  <c r="E14" i="4"/>
  <c r="E15" i="4"/>
  <c r="E16" i="4"/>
  <c r="E17" i="4"/>
  <c r="E18" i="4"/>
  <c r="E19" i="4"/>
  <c r="E20" i="4"/>
  <c r="E21" i="4"/>
  <c r="E22" i="4"/>
  <c r="E23" i="4"/>
  <c r="E25" i="4"/>
  <c r="E26" i="4"/>
  <c r="E27" i="4"/>
  <c r="E30" i="4"/>
  <c r="E31" i="4"/>
  <c r="E32" i="4"/>
  <c r="E33" i="4"/>
  <c r="E34" i="4"/>
  <c r="E35" i="4"/>
  <c r="E36" i="4"/>
  <c r="E38" i="4"/>
  <c r="E39" i="4"/>
  <c r="E42" i="4"/>
  <c r="E43" i="4"/>
  <c r="E46" i="4"/>
  <c r="E47" i="4"/>
  <c r="E48" i="4"/>
  <c r="E49" i="4"/>
  <c r="E50" i="4"/>
  <c r="E51" i="4"/>
  <c r="E52" i="4"/>
  <c r="E53" i="4"/>
  <c r="E54" i="4"/>
  <c r="E55" i="4"/>
  <c r="E57" i="4"/>
  <c r="E58" i="4"/>
  <c r="E60" i="4"/>
  <c r="E61" i="4"/>
  <c r="E62" i="4"/>
  <c r="E63" i="4"/>
  <c r="E65" i="4"/>
  <c r="E66" i="4"/>
  <c r="E67" i="4"/>
  <c r="E68" i="4"/>
  <c r="E69" i="4"/>
  <c r="E70" i="4"/>
  <c r="E72" i="4"/>
  <c r="E73" i="4"/>
  <c r="E74" i="4"/>
  <c r="E75" i="4"/>
  <c r="E78" i="4"/>
  <c r="E80" i="4"/>
  <c r="E81" i="4"/>
  <c r="E82" i="4"/>
  <c r="E83" i="4"/>
  <c r="E84" i="4"/>
  <c r="E85" i="4"/>
  <c r="E86" i="4"/>
  <c r="E89" i="4"/>
  <c r="E90" i="4"/>
  <c r="E91" i="4"/>
  <c r="E92" i="4"/>
  <c r="E96" i="4"/>
  <c r="E97" i="4"/>
  <c r="E98" i="4"/>
  <c r="E99" i="4"/>
  <c r="E100" i="4"/>
  <c r="E102" i="4"/>
  <c r="E103" i="4"/>
  <c r="E104" i="4"/>
  <c r="E105" i="4"/>
  <c r="E106" i="4"/>
  <c r="E107" i="4"/>
  <c r="E108" i="4"/>
  <c r="E109" i="4"/>
  <c r="E110" i="4"/>
  <c r="E112" i="4"/>
  <c r="E113" i="4"/>
  <c r="E115" i="4"/>
  <c r="E117" i="4"/>
  <c r="E124" i="4"/>
  <c r="E126" i="4"/>
  <c r="E127" i="4"/>
  <c r="E128" i="4"/>
  <c r="E129" i="4"/>
  <c r="E130" i="4"/>
  <c r="E131" i="4"/>
  <c r="E132" i="4"/>
  <c r="E133" i="4"/>
  <c r="E136" i="4"/>
  <c r="E137" i="4"/>
  <c r="E138" i="4"/>
  <c r="E140" i="4"/>
  <c r="E141" i="4"/>
  <c r="E142" i="4"/>
  <c r="E143" i="4"/>
  <c r="E144" i="4"/>
  <c r="E146" i="4"/>
  <c r="E147" i="4"/>
  <c r="E2" i="4"/>
  <c r="D3" i="4"/>
  <c r="D4" i="4"/>
  <c r="D5" i="4"/>
  <c r="D7" i="4"/>
  <c r="D8" i="4"/>
  <c r="D9" i="4"/>
  <c r="D10" i="4"/>
  <c r="D11" i="4"/>
  <c r="D12" i="4"/>
  <c r="D13" i="4"/>
  <c r="D14" i="4"/>
  <c r="D15" i="4"/>
  <c r="D16" i="4"/>
  <c r="D17" i="4"/>
  <c r="D18" i="4"/>
  <c r="D22" i="4"/>
  <c r="D24" i="4"/>
  <c r="D25" i="4"/>
  <c r="D26" i="4"/>
  <c r="D27" i="4"/>
  <c r="D28" i="4"/>
  <c r="D29" i="4"/>
  <c r="D30" i="4"/>
  <c r="D31" i="4"/>
  <c r="D32" i="4"/>
  <c r="D33" i="4"/>
  <c r="D34" i="4"/>
  <c r="D35" i="4"/>
  <c r="D37" i="4"/>
  <c r="D38" i="4"/>
  <c r="D39" i="4"/>
  <c r="D40" i="4"/>
  <c r="D41" i="4"/>
  <c r="D42" i="4"/>
  <c r="D43" i="4"/>
  <c r="D44" i="4"/>
  <c r="D45" i="4"/>
  <c r="D46" i="4"/>
  <c r="D47" i="4"/>
  <c r="D48" i="4"/>
  <c r="D49" i="4"/>
  <c r="D50" i="4"/>
  <c r="D51" i="4"/>
  <c r="D52" i="4"/>
  <c r="D53" i="4"/>
  <c r="D54" i="4"/>
  <c r="D55" i="4"/>
  <c r="D56" i="4"/>
  <c r="D59" i="4"/>
  <c r="D60" i="4"/>
  <c r="D61" i="4"/>
  <c r="D62" i="4"/>
  <c r="D64" i="4"/>
  <c r="D65" i="4"/>
  <c r="D66" i="4"/>
  <c r="D67" i="4"/>
  <c r="D68" i="4"/>
  <c r="D69" i="4"/>
  <c r="D71" i="4"/>
  <c r="D73" i="4"/>
  <c r="D74" i="4"/>
  <c r="D75" i="4"/>
  <c r="D76" i="4"/>
  <c r="D77" i="4"/>
  <c r="D79" i="4"/>
  <c r="D80" i="4"/>
  <c r="D85" i="4"/>
  <c r="D86" i="4"/>
  <c r="D87" i="4"/>
  <c r="D88" i="4"/>
  <c r="D90" i="4"/>
  <c r="D91" i="4"/>
  <c r="D92" i="4"/>
  <c r="D93" i="4"/>
  <c r="D94" i="4"/>
  <c r="D95" i="4"/>
  <c r="D96" i="4"/>
  <c r="D99" i="4"/>
  <c r="D101" i="4"/>
  <c r="D102" i="4"/>
  <c r="D103" i="4"/>
  <c r="D105" i="4"/>
  <c r="D106" i="4"/>
  <c r="D108" i="4"/>
  <c r="D109" i="4"/>
  <c r="D111" i="4"/>
  <c r="D112" i="4"/>
  <c r="D114" i="4"/>
  <c r="D115" i="4"/>
  <c r="D116" i="4"/>
  <c r="D118" i="4"/>
  <c r="D119" i="4"/>
  <c r="D120" i="4"/>
  <c r="D121" i="4"/>
  <c r="D122" i="4"/>
  <c r="D123" i="4"/>
  <c r="D124" i="4"/>
  <c r="D125" i="4"/>
  <c r="D128" i="4"/>
  <c r="D129" i="4"/>
  <c r="D133" i="4"/>
  <c r="D134" i="4"/>
  <c r="D135" i="4"/>
  <c r="D136" i="4"/>
  <c r="D139" i="4"/>
  <c r="D140" i="4"/>
  <c r="D141" i="4"/>
  <c r="D142" i="4"/>
  <c r="D143" i="4"/>
  <c r="D144" i="4"/>
  <c r="D145" i="4"/>
  <c r="D146" i="4"/>
  <c r="D147" i="4"/>
  <c r="M3" i="8"/>
  <c r="M4" i="8"/>
  <c r="M5" i="8"/>
  <c r="M6" i="8"/>
  <c r="M10" i="8"/>
  <c r="M11" i="8"/>
  <c r="M12" i="8"/>
  <c r="M14" i="8"/>
  <c r="M15" i="8"/>
  <c r="M16" i="8"/>
  <c r="M17" i="8"/>
  <c r="M19" i="8"/>
  <c r="M20" i="8"/>
  <c r="M21" i="8"/>
  <c r="M22" i="8"/>
  <c r="M23" i="8"/>
  <c r="M24" i="8"/>
  <c r="M25" i="8"/>
  <c r="M26" i="8"/>
  <c r="M27" i="8"/>
  <c r="M28" i="8"/>
  <c r="M29" i="8"/>
  <c r="M30" i="8"/>
  <c r="M31" i="8"/>
  <c r="M32" i="8"/>
  <c r="M33" i="8"/>
  <c r="M35" i="8"/>
  <c r="M36" i="8"/>
  <c r="M37"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4" i="8"/>
  <c r="M75" i="8"/>
  <c r="M76" i="8"/>
  <c r="M77" i="8"/>
  <c r="M78" i="8"/>
  <c r="M79" i="8"/>
  <c r="M80" i="8"/>
  <c r="M81" i="8"/>
  <c r="M82" i="8"/>
  <c r="M83" i="8"/>
  <c r="M84" i="8"/>
  <c r="M85" i="8"/>
  <c r="M87" i="8"/>
  <c r="M88" i="8"/>
  <c r="M89" i="8"/>
  <c r="M90" i="8"/>
  <c r="M91" i="8"/>
  <c r="M92" i="8"/>
  <c r="M93" i="8"/>
  <c r="M94" i="8"/>
  <c r="M95" i="8"/>
  <c r="M96" i="8"/>
  <c r="M97" i="8"/>
  <c r="M98"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1" i="8"/>
  <c r="M142" i="8"/>
  <c r="M143" i="8"/>
  <c r="M145" i="8"/>
  <c r="M146" i="8"/>
  <c r="M147" i="8"/>
  <c r="L3" i="8"/>
  <c r="L4" i="8"/>
  <c r="L5" i="8"/>
  <c r="L6" i="8"/>
  <c r="L7" i="8"/>
  <c r="L8" i="8"/>
  <c r="L9" i="8"/>
  <c r="L10" i="8"/>
  <c r="L11" i="8"/>
  <c r="L12" i="8"/>
  <c r="L13" i="8"/>
  <c r="L15" i="8"/>
  <c r="L16" i="8"/>
  <c r="L17" i="8"/>
  <c r="L18" i="8"/>
  <c r="L19" i="8"/>
  <c r="L20" i="8"/>
  <c r="L21" i="8"/>
  <c r="L22" i="8"/>
  <c r="L23" i="8"/>
  <c r="L24" i="8"/>
  <c r="L26" i="8"/>
  <c r="L27" i="8"/>
  <c r="L28" i="8"/>
  <c r="L29" i="8"/>
  <c r="L30" i="8"/>
  <c r="L31" i="8"/>
  <c r="L32" i="8"/>
  <c r="L33" i="8"/>
  <c r="L34" i="8"/>
  <c r="L35" i="8"/>
  <c r="L36" i="8"/>
  <c r="L37" i="8"/>
  <c r="L38" i="8"/>
  <c r="L39" i="8"/>
  <c r="L40" i="8"/>
  <c r="L41" i="8"/>
  <c r="L42" i="8"/>
  <c r="L43" i="8"/>
  <c r="L44" i="8"/>
  <c r="L45" i="8"/>
  <c r="L46" i="8"/>
  <c r="L47" i="8"/>
  <c r="L53" i="8"/>
  <c r="L54" i="8"/>
  <c r="L55" i="8"/>
  <c r="L56" i="8"/>
  <c r="L57" i="8"/>
  <c r="L58" i="8"/>
  <c r="L59" i="8"/>
  <c r="L60" i="8"/>
  <c r="L61" i="8"/>
  <c r="L62" i="8"/>
  <c r="L63" i="8"/>
  <c r="L64" i="8"/>
  <c r="L66" i="8"/>
  <c r="L69" i="8"/>
  <c r="L70" i="8"/>
  <c r="L71" i="8"/>
  <c r="L72" i="8"/>
  <c r="L73" i="8"/>
  <c r="L74" i="8"/>
  <c r="L75" i="8"/>
  <c r="L76" i="8"/>
  <c r="L77" i="8"/>
  <c r="L78" i="8"/>
  <c r="L79" i="8"/>
  <c r="L81" i="8"/>
  <c r="L82" i="8"/>
  <c r="L83" i="8"/>
  <c r="L84" i="8"/>
  <c r="L85" i="8"/>
  <c r="L86" i="8"/>
  <c r="L87" i="8"/>
  <c r="L88" i="8"/>
  <c r="L89" i="8"/>
  <c r="L90" i="8"/>
  <c r="L91" i="8"/>
  <c r="L92" i="8"/>
  <c r="L93" i="8"/>
  <c r="L94" i="8"/>
  <c r="L95" i="8"/>
  <c r="L97" i="8"/>
  <c r="L98" i="8"/>
  <c r="L99" i="8"/>
  <c r="L100" i="8"/>
  <c r="L101" i="8"/>
  <c r="L102" i="8"/>
  <c r="L104" i="8"/>
  <c r="L105" i="8"/>
  <c r="L106" i="8"/>
  <c r="L107" i="8"/>
  <c r="L110" i="8"/>
  <c r="L111" i="8"/>
  <c r="L112" i="8"/>
  <c r="L113" i="8"/>
  <c r="L114" i="8"/>
  <c r="L115" i="8"/>
  <c r="L116" i="8"/>
  <c r="L117" i="8"/>
  <c r="L118" i="8"/>
  <c r="L119" i="8"/>
  <c r="L120" i="8"/>
  <c r="L121" i="8"/>
  <c r="L122" i="8"/>
  <c r="L123" i="8"/>
  <c r="L124" i="8"/>
  <c r="L125" i="8"/>
  <c r="L126" i="8"/>
  <c r="L127" i="8"/>
  <c r="L128" i="8"/>
  <c r="L129" i="8"/>
  <c r="L130" i="8"/>
  <c r="L131" i="8"/>
  <c r="L132" i="8"/>
  <c r="L134" i="8"/>
  <c r="L135" i="8"/>
  <c r="L137" i="8"/>
  <c r="L138" i="8"/>
  <c r="L139" i="8"/>
  <c r="L140" i="8"/>
  <c r="L141" i="8"/>
  <c r="L142" i="8"/>
  <c r="L143" i="8"/>
  <c r="L144" i="8"/>
  <c r="L145" i="8"/>
  <c r="L146" i="8"/>
  <c r="L147" i="8"/>
  <c r="K5" i="8"/>
  <c r="K6" i="8"/>
  <c r="K7" i="8"/>
  <c r="K8" i="8"/>
  <c r="K9" i="8"/>
  <c r="K13" i="8"/>
  <c r="K14" i="8"/>
  <c r="K18" i="8"/>
  <c r="K19" i="8"/>
  <c r="K20" i="8"/>
  <c r="K21" i="8"/>
  <c r="K23" i="8"/>
  <c r="K24" i="8"/>
  <c r="K25" i="8"/>
  <c r="K28" i="8"/>
  <c r="K29" i="8"/>
  <c r="K34" i="8"/>
  <c r="K36" i="8"/>
  <c r="K37" i="8"/>
  <c r="K38" i="8"/>
  <c r="K40" i="8"/>
  <c r="K41" i="8"/>
  <c r="K44" i="8"/>
  <c r="K45" i="8"/>
  <c r="K48" i="8"/>
  <c r="K49" i="8"/>
  <c r="K50" i="8"/>
  <c r="K51" i="8"/>
  <c r="K52" i="8"/>
  <c r="K56" i="8"/>
  <c r="K57" i="8"/>
  <c r="K58" i="8"/>
  <c r="K59" i="8"/>
  <c r="K63" i="8"/>
  <c r="K64" i="8"/>
  <c r="K65" i="8"/>
  <c r="K67" i="8"/>
  <c r="K68" i="8"/>
  <c r="K70" i="8"/>
  <c r="K71" i="8"/>
  <c r="K72" i="8"/>
  <c r="K73" i="8"/>
  <c r="K76" i="8"/>
  <c r="K77" i="8"/>
  <c r="K78" i="8"/>
  <c r="K79" i="8"/>
  <c r="K80" i="8"/>
  <c r="K81" i="8"/>
  <c r="K82" i="8"/>
  <c r="K83" i="8"/>
  <c r="K84" i="8"/>
  <c r="K86" i="8"/>
  <c r="K87" i="8"/>
  <c r="K88" i="8"/>
  <c r="K89" i="8"/>
  <c r="K93" i="8"/>
  <c r="K94" i="8"/>
  <c r="K95" i="8"/>
  <c r="K96" i="8"/>
  <c r="K97" i="8"/>
  <c r="K98" i="8"/>
  <c r="K99" i="8"/>
  <c r="K100" i="8"/>
  <c r="K101" i="8"/>
  <c r="K103" i="8"/>
  <c r="K104" i="8"/>
  <c r="K107" i="8"/>
  <c r="K108" i="8"/>
  <c r="K109" i="8"/>
  <c r="K110" i="8"/>
  <c r="K111" i="8"/>
  <c r="K113" i="8"/>
  <c r="K114" i="8"/>
  <c r="K116" i="8"/>
  <c r="K117" i="8"/>
  <c r="K118" i="8"/>
  <c r="K119" i="8"/>
  <c r="K120" i="8"/>
  <c r="K121" i="8"/>
  <c r="K122" i="8"/>
  <c r="K123" i="8"/>
  <c r="K125" i="8"/>
  <c r="K126" i="8"/>
  <c r="K127" i="8"/>
  <c r="K130" i="8"/>
  <c r="K131" i="8"/>
  <c r="K132" i="8"/>
  <c r="K133" i="8"/>
  <c r="K134" i="8"/>
  <c r="K135" i="8"/>
  <c r="K136" i="8"/>
  <c r="K137" i="8"/>
  <c r="K138" i="8"/>
  <c r="K139" i="8"/>
  <c r="K140" i="8"/>
  <c r="K144" i="8"/>
  <c r="K145" i="8"/>
  <c r="K147" i="8"/>
  <c r="J3" i="8"/>
  <c r="J4" i="8"/>
  <c r="J6" i="8"/>
  <c r="J7" i="8"/>
  <c r="J8" i="8"/>
  <c r="J9" i="8"/>
  <c r="J10" i="8"/>
  <c r="J11" i="8"/>
  <c r="J12" i="8"/>
  <c r="J13" i="8"/>
  <c r="J14" i="8"/>
  <c r="J15" i="8"/>
  <c r="J16" i="8"/>
  <c r="J17" i="8"/>
  <c r="J18" i="8"/>
  <c r="J19" i="8"/>
  <c r="J20" i="8"/>
  <c r="J21" i="8"/>
  <c r="J22" i="8"/>
  <c r="J23" i="8"/>
  <c r="J25" i="8"/>
  <c r="J26" i="8"/>
  <c r="J27" i="8"/>
  <c r="J30" i="8"/>
  <c r="J31" i="8"/>
  <c r="J32" i="8"/>
  <c r="J33" i="8"/>
  <c r="J34" i="8"/>
  <c r="J35" i="8"/>
  <c r="J36" i="8"/>
  <c r="J38" i="8"/>
  <c r="J39" i="8"/>
  <c r="J42" i="8"/>
  <c r="J43" i="8"/>
  <c r="J46" i="8"/>
  <c r="J47" i="8"/>
  <c r="J48" i="8"/>
  <c r="J49" i="8"/>
  <c r="J50" i="8"/>
  <c r="J51" i="8"/>
  <c r="J52" i="8"/>
  <c r="J53" i="8"/>
  <c r="J54" i="8"/>
  <c r="J55" i="8"/>
  <c r="J57" i="8"/>
  <c r="J58" i="8"/>
  <c r="J60" i="8"/>
  <c r="J61" i="8"/>
  <c r="J62" i="8"/>
  <c r="J63" i="8"/>
  <c r="J65" i="8"/>
  <c r="J66" i="8"/>
  <c r="J67" i="8"/>
  <c r="J68" i="8"/>
  <c r="J69" i="8"/>
  <c r="J70" i="8"/>
  <c r="J72" i="8"/>
  <c r="J73" i="8"/>
  <c r="J74" i="8"/>
  <c r="J75" i="8"/>
  <c r="J78" i="8"/>
  <c r="J80" i="8"/>
  <c r="J81" i="8"/>
  <c r="J82" i="8"/>
  <c r="J83" i="8"/>
  <c r="J84" i="8"/>
  <c r="J85" i="8"/>
  <c r="J86" i="8"/>
  <c r="J89" i="8"/>
  <c r="J90" i="8"/>
  <c r="J91" i="8"/>
  <c r="J92" i="8"/>
  <c r="J96" i="8"/>
  <c r="J97" i="8"/>
  <c r="J98" i="8"/>
  <c r="J99" i="8"/>
  <c r="J100" i="8"/>
  <c r="J102" i="8"/>
  <c r="J103" i="8"/>
  <c r="J104" i="8"/>
  <c r="J105" i="8"/>
  <c r="J106" i="8"/>
  <c r="J107" i="8"/>
  <c r="J108" i="8"/>
  <c r="J109" i="8"/>
  <c r="J110" i="8"/>
  <c r="J112" i="8"/>
  <c r="J113" i="8"/>
  <c r="J115" i="8"/>
  <c r="J117" i="8"/>
  <c r="J124" i="8"/>
  <c r="J126" i="8"/>
  <c r="J127" i="8"/>
  <c r="J128" i="8"/>
  <c r="J129" i="8"/>
  <c r="J130" i="8"/>
  <c r="J131" i="8"/>
  <c r="J132" i="8"/>
  <c r="J133" i="8"/>
  <c r="J136" i="8"/>
  <c r="J137" i="8"/>
  <c r="J138" i="8"/>
  <c r="J140" i="8"/>
  <c r="J141" i="8"/>
  <c r="J142" i="8"/>
  <c r="J143" i="8"/>
  <c r="J144" i="8"/>
  <c r="J146" i="8"/>
  <c r="J147" i="8"/>
  <c r="I3" i="8"/>
  <c r="I4" i="8"/>
  <c r="I5" i="8"/>
  <c r="I7" i="8"/>
  <c r="I8" i="8"/>
  <c r="I9" i="8"/>
  <c r="I10" i="8"/>
  <c r="I11" i="8"/>
  <c r="I12" i="8"/>
  <c r="I13" i="8"/>
  <c r="I14" i="8"/>
  <c r="I15" i="8"/>
  <c r="I16" i="8"/>
  <c r="I17" i="8"/>
  <c r="I18" i="8"/>
  <c r="I22" i="8"/>
  <c r="I24" i="8"/>
  <c r="I25" i="8"/>
  <c r="I26" i="8"/>
  <c r="I27" i="8"/>
  <c r="I28" i="8"/>
  <c r="I29" i="8"/>
  <c r="I30" i="8"/>
  <c r="I31" i="8"/>
  <c r="I32" i="8"/>
  <c r="I33" i="8"/>
  <c r="I34" i="8"/>
  <c r="I35" i="8"/>
  <c r="I37" i="8"/>
  <c r="I38" i="8"/>
  <c r="I39" i="8"/>
  <c r="I40" i="8"/>
  <c r="I41" i="8"/>
  <c r="I42" i="8"/>
  <c r="I43" i="8"/>
  <c r="I44" i="8"/>
  <c r="I45" i="8"/>
  <c r="I46" i="8"/>
  <c r="I47" i="8"/>
  <c r="I48" i="8"/>
  <c r="I49" i="8"/>
  <c r="I50" i="8"/>
  <c r="I51" i="8"/>
  <c r="I52" i="8"/>
  <c r="I53" i="8"/>
  <c r="I54" i="8"/>
  <c r="I55" i="8"/>
  <c r="I56" i="8"/>
  <c r="I59" i="8"/>
  <c r="I60" i="8"/>
  <c r="I61" i="8"/>
  <c r="I62" i="8"/>
  <c r="I64" i="8"/>
  <c r="I65" i="8"/>
  <c r="I66" i="8"/>
  <c r="I67" i="8"/>
  <c r="I68" i="8"/>
  <c r="I69" i="8"/>
  <c r="I71" i="8"/>
  <c r="I73" i="8"/>
  <c r="I74" i="8"/>
  <c r="I75" i="8"/>
  <c r="I76" i="8"/>
  <c r="I77" i="8"/>
  <c r="I79" i="8"/>
  <c r="I80" i="8"/>
  <c r="I85" i="8"/>
  <c r="I86" i="8"/>
  <c r="I87" i="8"/>
  <c r="I88" i="8"/>
  <c r="I90" i="8"/>
  <c r="I91" i="8"/>
  <c r="I92" i="8"/>
  <c r="I93" i="8"/>
  <c r="I94" i="8"/>
  <c r="I95" i="8"/>
  <c r="I96" i="8"/>
  <c r="I99" i="8"/>
  <c r="I101" i="8"/>
  <c r="I102" i="8"/>
  <c r="I103" i="8"/>
  <c r="I105" i="8"/>
  <c r="I106" i="8"/>
  <c r="I108" i="8"/>
  <c r="I109" i="8"/>
  <c r="I111" i="8"/>
  <c r="I112" i="8"/>
  <c r="I114" i="8"/>
  <c r="I115" i="8"/>
  <c r="I116" i="8"/>
  <c r="I118" i="8"/>
  <c r="I119" i="8"/>
  <c r="I120" i="8"/>
  <c r="I121" i="8"/>
  <c r="I122" i="8"/>
  <c r="I123" i="8"/>
  <c r="I124" i="8"/>
  <c r="I125" i="8"/>
  <c r="I128" i="8"/>
  <c r="I129" i="8"/>
  <c r="I133" i="8"/>
  <c r="I134" i="8"/>
  <c r="I135" i="8"/>
  <c r="I136" i="8"/>
  <c r="I139" i="8"/>
  <c r="I140" i="8"/>
  <c r="I141" i="8"/>
  <c r="I142" i="8"/>
  <c r="I143" i="8"/>
  <c r="I144" i="8"/>
  <c r="I145" i="8"/>
  <c r="I146" i="8"/>
  <c r="I147" i="8"/>
  <c r="M2" i="8"/>
  <c r="L2" i="8"/>
  <c r="K2" i="8"/>
  <c r="J2" i="8"/>
  <c r="F3" i="8"/>
  <c r="F4" i="8"/>
  <c r="F5" i="8"/>
  <c r="F6" i="8"/>
  <c r="F10" i="8"/>
  <c r="F11" i="8"/>
  <c r="F12" i="8"/>
  <c r="F14" i="8"/>
  <c r="F15" i="8"/>
  <c r="F16" i="8"/>
  <c r="F17" i="8"/>
  <c r="F19" i="8"/>
  <c r="F20" i="8"/>
  <c r="F21" i="8"/>
  <c r="F22" i="8"/>
  <c r="F23" i="8"/>
  <c r="F24" i="8"/>
  <c r="F25" i="8"/>
  <c r="F26" i="8"/>
  <c r="F27" i="8"/>
  <c r="F28" i="8"/>
  <c r="F29" i="8"/>
  <c r="F30" i="8"/>
  <c r="F31" i="8"/>
  <c r="F32" i="8"/>
  <c r="F33" i="8"/>
  <c r="F35" i="8"/>
  <c r="F36" i="8"/>
  <c r="F37"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4" i="8"/>
  <c r="F75" i="8"/>
  <c r="F76" i="8"/>
  <c r="F77" i="8"/>
  <c r="F78" i="8"/>
  <c r="F79" i="8"/>
  <c r="F80" i="8"/>
  <c r="F81" i="8"/>
  <c r="F82" i="8"/>
  <c r="F83" i="8"/>
  <c r="F84" i="8"/>
  <c r="F85" i="8"/>
  <c r="F87" i="8"/>
  <c r="F88" i="8"/>
  <c r="F89" i="8"/>
  <c r="F90" i="8"/>
  <c r="F91" i="8"/>
  <c r="F92" i="8"/>
  <c r="F93" i="8"/>
  <c r="F94" i="8"/>
  <c r="F95" i="8"/>
  <c r="F96" i="8"/>
  <c r="F97" i="8"/>
  <c r="F98"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1" i="8"/>
  <c r="F142" i="8"/>
  <c r="F143" i="8"/>
  <c r="F145" i="8"/>
  <c r="F146" i="8"/>
  <c r="F147" i="8"/>
  <c r="F2" i="8"/>
  <c r="E3" i="8"/>
  <c r="E4" i="8"/>
  <c r="E5" i="8"/>
  <c r="E6" i="8"/>
  <c r="E7" i="8"/>
  <c r="E8" i="8"/>
  <c r="E9" i="8"/>
  <c r="E10" i="8"/>
  <c r="E11" i="8"/>
  <c r="E12" i="8"/>
  <c r="E13" i="8"/>
  <c r="E15" i="8"/>
  <c r="E16" i="8"/>
  <c r="E17" i="8"/>
  <c r="E18" i="8"/>
  <c r="E19" i="8"/>
  <c r="E20" i="8"/>
  <c r="E21" i="8"/>
  <c r="E22" i="8"/>
  <c r="E23" i="8"/>
  <c r="E24" i="8"/>
  <c r="E26" i="8"/>
  <c r="E27" i="8"/>
  <c r="E28" i="8"/>
  <c r="E29" i="8"/>
  <c r="E30" i="8"/>
  <c r="E31" i="8"/>
  <c r="E32" i="8"/>
  <c r="E33" i="8"/>
  <c r="E34" i="8"/>
  <c r="E35" i="8"/>
  <c r="E36" i="8"/>
  <c r="E37" i="8"/>
  <c r="E38" i="8"/>
  <c r="E39" i="8"/>
  <c r="E40" i="8"/>
  <c r="E41" i="8"/>
  <c r="E42" i="8"/>
  <c r="E43" i="8"/>
  <c r="E44" i="8"/>
  <c r="E45" i="8"/>
  <c r="E46" i="8"/>
  <c r="E47" i="8"/>
  <c r="E53" i="8"/>
  <c r="E54" i="8"/>
  <c r="E55" i="8"/>
  <c r="E56" i="8"/>
  <c r="E57" i="8"/>
  <c r="E58" i="8"/>
  <c r="E59" i="8"/>
  <c r="E60" i="8"/>
  <c r="E61" i="8"/>
  <c r="E62" i="8"/>
  <c r="E63" i="8"/>
  <c r="E64" i="8"/>
  <c r="E66" i="8"/>
  <c r="E69" i="8"/>
  <c r="E70" i="8"/>
  <c r="E71" i="8"/>
  <c r="E72" i="8"/>
  <c r="E73" i="8"/>
  <c r="E74" i="8"/>
  <c r="E75" i="8"/>
  <c r="E76" i="8"/>
  <c r="E77" i="8"/>
  <c r="E78" i="8"/>
  <c r="E79" i="8"/>
  <c r="E81" i="8"/>
  <c r="E82" i="8"/>
  <c r="E83" i="8"/>
  <c r="E84" i="8"/>
  <c r="E85" i="8"/>
  <c r="E86" i="8"/>
  <c r="E87" i="8"/>
  <c r="E88" i="8"/>
  <c r="E89" i="8"/>
  <c r="E90" i="8"/>
  <c r="E91" i="8"/>
  <c r="E92" i="8"/>
  <c r="E93" i="8"/>
  <c r="E94" i="8"/>
  <c r="E95" i="8"/>
  <c r="E97" i="8"/>
  <c r="E98" i="8"/>
  <c r="E99" i="8"/>
  <c r="E100" i="8"/>
  <c r="E101" i="8"/>
  <c r="E102" i="8"/>
  <c r="E104" i="8"/>
  <c r="E105" i="8"/>
  <c r="E106" i="8"/>
  <c r="E107" i="8"/>
  <c r="E110" i="8"/>
  <c r="E111" i="8"/>
  <c r="E112" i="8"/>
  <c r="E113" i="8"/>
  <c r="E114" i="8"/>
  <c r="E115" i="8"/>
  <c r="E116" i="8"/>
  <c r="E117" i="8"/>
  <c r="E118" i="8"/>
  <c r="E119" i="8"/>
  <c r="E120" i="8"/>
  <c r="E121" i="8"/>
  <c r="E122" i="8"/>
  <c r="E123" i="8"/>
  <c r="E124" i="8"/>
  <c r="E125" i="8"/>
  <c r="E126" i="8"/>
  <c r="E127" i="8"/>
  <c r="E128" i="8"/>
  <c r="E129" i="8"/>
  <c r="E130" i="8"/>
  <c r="E131" i="8"/>
  <c r="E132" i="8"/>
  <c r="E134" i="8"/>
  <c r="E135" i="8"/>
  <c r="E137" i="8"/>
  <c r="E138" i="8"/>
  <c r="E139" i="8"/>
  <c r="E140" i="8"/>
  <c r="E141" i="8"/>
  <c r="E142" i="8"/>
  <c r="E143" i="8"/>
  <c r="E144" i="8"/>
  <c r="E145" i="8"/>
  <c r="E146" i="8"/>
  <c r="E147" i="8"/>
  <c r="E2" i="8"/>
  <c r="D5" i="8"/>
  <c r="D6" i="8"/>
  <c r="D7" i="8"/>
  <c r="D8" i="8"/>
  <c r="D9" i="8"/>
  <c r="D13" i="8"/>
  <c r="D14" i="8"/>
  <c r="D18" i="8"/>
  <c r="D19" i="8"/>
  <c r="D20" i="8"/>
  <c r="D21" i="8"/>
  <c r="D23" i="8"/>
  <c r="D24" i="8"/>
  <c r="D25" i="8"/>
  <c r="D28" i="8"/>
  <c r="D29" i="8"/>
  <c r="D34" i="8"/>
  <c r="D36" i="8"/>
  <c r="D37" i="8"/>
  <c r="D38" i="8"/>
  <c r="D40" i="8"/>
  <c r="D41" i="8"/>
  <c r="D44" i="8"/>
  <c r="D45" i="8"/>
  <c r="D48" i="8"/>
  <c r="D49" i="8"/>
  <c r="D50" i="8"/>
  <c r="D51" i="8"/>
  <c r="D52" i="8"/>
  <c r="D56" i="8"/>
  <c r="D57" i="8"/>
  <c r="D58" i="8"/>
  <c r="D59" i="8"/>
  <c r="D63" i="8"/>
  <c r="D64" i="8"/>
  <c r="D65" i="8"/>
  <c r="D67" i="8"/>
  <c r="D68" i="8"/>
  <c r="D70" i="8"/>
  <c r="D71" i="8"/>
  <c r="D72" i="8"/>
  <c r="D73" i="8"/>
  <c r="D76" i="8"/>
  <c r="D77" i="8"/>
  <c r="D78" i="8"/>
  <c r="D79" i="8"/>
  <c r="D80" i="8"/>
  <c r="D81" i="8"/>
  <c r="D82" i="8"/>
  <c r="D83" i="8"/>
  <c r="D84" i="8"/>
  <c r="D86" i="8"/>
  <c r="D87" i="8"/>
  <c r="D88" i="8"/>
  <c r="D89" i="8"/>
  <c r="D93" i="8"/>
  <c r="D94" i="8"/>
  <c r="D95" i="8"/>
  <c r="D96" i="8"/>
  <c r="D97" i="8"/>
  <c r="D98" i="8"/>
  <c r="D99" i="8"/>
  <c r="D100" i="8"/>
  <c r="D101" i="8"/>
  <c r="D103" i="8"/>
  <c r="D104" i="8"/>
  <c r="D107" i="8"/>
  <c r="D108" i="8"/>
  <c r="D109" i="8"/>
  <c r="D110" i="8"/>
  <c r="D111" i="8"/>
  <c r="D113" i="8"/>
  <c r="D114" i="8"/>
  <c r="D116" i="8"/>
  <c r="D117" i="8"/>
  <c r="D118" i="8"/>
  <c r="D119" i="8"/>
  <c r="D120" i="8"/>
  <c r="D121" i="8"/>
  <c r="D122" i="8"/>
  <c r="D123" i="8"/>
  <c r="D125" i="8"/>
  <c r="D126" i="8"/>
  <c r="D127" i="8"/>
  <c r="D130" i="8"/>
  <c r="D131" i="8"/>
  <c r="D132" i="8"/>
  <c r="D133" i="8"/>
  <c r="D134" i="8"/>
  <c r="D135" i="8"/>
  <c r="D136" i="8"/>
  <c r="D137" i="8"/>
  <c r="D138" i="8"/>
  <c r="D139" i="8"/>
  <c r="D140" i="8"/>
  <c r="D144" i="8"/>
  <c r="D145" i="8"/>
  <c r="D147" i="8"/>
  <c r="D2" i="8"/>
  <c r="C3" i="8"/>
  <c r="C4" i="8"/>
  <c r="C6" i="8"/>
  <c r="C7" i="8"/>
  <c r="C8" i="8"/>
  <c r="C9" i="8"/>
  <c r="C10" i="8"/>
  <c r="C11" i="8"/>
  <c r="C12" i="8"/>
  <c r="C13" i="8"/>
  <c r="C14" i="8"/>
  <c r="C15" i="8"/>
  <c r="C16" i="8"/>
  <c r="C17" i="8"/>
  <c r="C18" i="8"/>
  <c r="C19" i="8"/>
  <c r="C20" i="8"/>
  <c r="C21" i="8"/>
  <c r="C22" i="8"/>
  <c r="C23" i="8"/>
  <c r="C25" i="8"/>
  <c r="C26" i="8"/>
  <c r="C27" i="8"/>
  <c r="C30" i="8"/>
  <c r="C31" i="8"/>
  <c r="C32" i="8"/>
  <c r="C33" i="8"/>
  <c r="C34" i="8"/>
  <c r="C35" i="8"/>
  <c r="C36" i="8"/>
  <c r="C38" i="8"/>
  <c r="C39" i="8"/>
  <c r="C42" i="8"/>
  <c r="C43" i="8"/>
  <c r="C46" i="8"/>
  <c r="C47" i="8"/>
  <c r="C48" i="8"/>
  <c r="C49" i="8"/>
  <c r="C50" i="8"/>
  <c r="C51" i="8"/>
  <c r="C52" i="8"/>
  <c r="C53" i="8"/>
  <c r="C54" i="8"/>
  <c r="C55" i="8"/>
  <c r="C57" i="8"/>
  <c r="C58" i="8"/>
  <c r="C60" i="8"/>
  <c r="C61" i="8"/>
  <c r="C62" i="8"/>
  <c r="C63" i="8"/>
  <c r="C65" i="8"/>
  <c r="C66" i="8"/>
  <c r="C67" i="8"/>
  <c r="C68" i="8"/>
  <c r="C69" i="8"/>
  <c r="C70" i="8"/>
  <c r="C72" i="8"/>
  <c r="C73" i="8"/>
  <c r="C74" i="8"/>
  <c r="C75" i="8"/>
  <c r="C78" i="8"/>
  <c r="C80" i="8"/>
  <c r="C81" i="8"/>
  <c r="C82" i="8"/>
  <c r="C83" i="8"/>
  <c r="C84" i="8"/>
  <c r="C85" i="8"/>
  <c r="C86" i="8"/>
  <c r="C89" i="8"/>
  <c r="C90" i="8"/>
  <c r="C91" i="8"/>
  <c r="C92" i="8"/>
  <c r="C96" i="8"/>
  <c r="C97" i="8"/>
  <c r="C98" i="8"/>
  <c r="C99" i="8"/>
  <c r="C100" i="8"/>
  <c r="C102" i="8"/>
  <c r="C103" i="8"/>
  <c r="C104" i="8"/>
  <c r="C105" i="8"/>
  <c r="C106" i="8"/>
  <c r="C107" i="8"/>
  <c r="C108" i="8"/>
  <c r="C109" i="8"/>
  <c r="C110" i="8"/>
  <c r="C112" i="8"/>
  <c r="C113" i="8"/>
  <c r="C115" i="8"/>
  <c r="C117" i="8"/>
  <c r="C124" i="8"/>
  <c r="C126" i="8"/>
  <c r="C127" i="8"/>
  <c r="C128" i="8"/>
  <c r="C129" i="8"/>
  <c r="C130" i="8"/>
  <c r="C131" i="8"/>
  <c r="C132" i="8"/>
  <c r="C133" i="8"/>
  <c r="C136" i="8"/>
  <c r="C137" i="8"/>
  <c r="C138" i="8"/>
  <c r="C140" i="8"/>
  <c r="C141" i="8"/>
  <c r="C142" i="8"/>
  <c r="C143" i="8"/>
  <c r="C144" i="8"/>
  <c r="C146" i="8"/>
  <c r="C147" i="8"/>
  <c r="C2" i="8"/>
  <c r="B3" i="8"/>
  <c r="B4" i="8"/>
  <c r="B5" i="8"/>
  <c r="B7" i="8"/>
  <c r="B8" i="8"/>
  <c r="B9" i="8"/>
  <c r="B10" i="8"/>
  <c r="B11" i="8"/>
  <c r="B12" i="8"/>
  <c r="B13" i="8"/>
  <c r="B14" i="8"/>
  <c r="B15" i="8"/>
  <c r="B16" i="8"/>
  <c r="B17" i="8"/>
  <c r="B18" i="8"/>
  <c r="B22" i="8"/>
  <c r="B24" i="8"/>
  <c r="B25" i="8"/>
  <c r="B26" i="8"/>
  <c r="B27" i="8"/>
  <c r="B28" i="8"/>
  <c r="B29" i="8"/>
  <c r="B30" i="8"/>
  <c r="B31" i="8"/>
  <c r="B32" i="8"/>
  <c r="B33" i="8"/>
  <c r="B34" i="8"/>
  <c r="B35" i="8"/>
  <c r="B37" i="8"/>
  <c r="B38" i="8"/>
  <c r="B39" i="8"/>
  <c r="B40" i="8"/>
  <c r="B41" i="8"/>
  <c r="B42" i="8"/>
  <c r="B43" i="8"/>
  <c r="B44" i="8"/>
  <c r="B45" i="8"/>
  <c r="B46" i="8"/>
  <c r="B47" i="8"/>
  <c r="B48" i="8"/>
  <c r="B49" i="8"/>
  <c r="B50" i="8"/>
  <c r="B51" i="8"/>
  <c r="B52" i="8"/>
  <c r="B53" i="8"/>
  <c r="B54" i="8"/>
  <c r="B55" i="8"/>
  <c r="B56" i="8"/>
  <c r="B59" i="8"/>
  <c r="B60" i="8"/>
  <c r="B61" i="8"/>
  <c r="B62" i="8"/>
  <c r="B64" i="8"/>
  <c r="B65" i="8"/>
  <c r="B66" i="8"/>
  <c r="B67" i="8"/>
  <c r="B68" i="8"/>
  <c r="B69" i="8"/>
  <c r="B71" i="8"/>
  <c r="B73" i="8"/>
  <c r="B74" i="8"/>
  <c r="B75" i="8"/>
  <c r="B76" i="8"/>
  <c r="B77" i="8"/>
  <c r="B79" i="8"/>
  <c r="B80" i="8"/>
  <c r="B85" i="8"/>
  <c r="B86" i="8"/>
  <c r="B87" i="8"/>
  <c r="B88" i="8"/>
  <c r="B90" i="8"/>
  <c r="B91" i="8"/>
  <c r="B92" i="8"/>
  <c r="B93" i="8"/>
  <c r="B94" i="8"/>
  <c r="B95" i="8"/>
  <c r="B96" i="8"/>
  <c r="B99" i="8"/>
  <c r="B101" i="8"/>
  <c r="B102" i="8"/>
  <c r="B103" i="8"/>
  <c r="B105" i="8"/>
  <c r="B106" i="8"/>
  <c r="B108" i="8"/>
  <c r="B109" i="8"/>
  <c r="B111" i="8"/>
  <c r="B112" i="8"/>
  <c r="B114" i="8"/>
  <c r="B115" i="8"/>
  <c r="B116" i="8"/>
  <c r="B118" i="8"/>
  <c r="B119" i="8"/>
  <c r="B120" i="8"/>
  <c r="B121" i="8"/>
  <c r="B122" i="8"/>
  <c r="B123" i="8"/>
  <c r="B124" i="8"/>
  <c r="B125" i="8"/>
  <c r="B128" i="8"/>
  <c r="B129" i="8"/>
  <c r="B133" i="8"/>
  <c r="B134" i="8"/>
  <c r="B135" i="8"/>
  <c r="B136" i="8"/>
  <c r="B139" i="8"/>
  <c r="B140" i="8"/>
  <c r="B141" i="8"/>
  <c r="B142" i="8"/>
  <c r="B143" i="8"/>
  <c r="B144" i="8"/>
  <c r="B145" i="8"/>
  <c r="B146" i="8"/>
  <c r="B147" i="8"/>
  <c r="H3" i="8"/>
  <c r="K3" i="8" s="1"/>
  <c r="H4" i="8"/>
  <c r="K4" i="8" s="1"/>
  <c r="H5" i="8"/>
  <c r="J5" i="8" s="1"/>
  <c r="H6" i="8"/>
  <c r="I6" i="8" s="1"/>
  <c r="H7" i="8"/>
  <c r="M7" i="8" s="1"/>
  <c r="H8" i="8"/>
  <c r="M8" i="8" s="1"/>
  <c r="H9" i="8"/>
  <c r="M9" i="8" s="1"/>
  <c r="H10" i="8"/>
  <c r="K10" i="8" s="1"/>
  <c r="H11" i="8"/>
  <c r="K11" i="8" s="1"/>
  <c r="H12" i="8"/>
  <c r="K12" i="8" s="1"/>
  <c r="H13" i="8"/>
  <c r="M13" i="8" s="1"/>
  <c r="H14" i="8"/>
  <c r="L14" i="8" s="1"/>
  <c r="H15" i="8"/>
  <c r="K15" i="8" s="1"/>
  <c r="H16" i="8"/>
  <c r="K16" i="8" s="1"/>
  <c r="H17" i="8"/>
  <c r="K17" i="8" s="1"/>
  <c r="H18" i="8"/>
  <c r="M18" i="8" s="1"/>
  <c r="H19" i="8"/>
  <c r="I19" i="8" s="1"/>
  <c r="H20" i="8"/>
  <c r="I20" i="8" s="1"/>
  <c r="H21" i="8"/>
  <c r="I21" i="8" s="1"/>
  <c r="H22" i="8"/>
  <c r="K22" i="8" s="1"/>
  <c r="H23" i="8"/>
  <c r="I23" i="8" s="1"/>
  <c r="H24" i="8"/>
  <c r="J24" i="8" s="1"/>
  <c r="H25" i="8"/>
  <c r="L25" i="8" s="1"/>
  <c r="H26" i="8"/>
  <c r="K26" i="8" s="1"/>
  <c r="H27" i="8"/>
  <c r="K27" i="8" s="1"/>
  <c r="H28" i="8"/>
  <c r="J28" i="8" s="1"/>
  <c r="H29" i="8"/>
  <c r="J29" i="8" s="1"/>
  <c r="H30" i="8"/>
  <c r="K30" i="8" s="1"/>
  <c r="H31" i="8"/>
  <c r="K31" i="8" s="1"/>
  <c r="H32" i="8"/>
  <c r="K32" i="8" s="1"/>
  <c r="H33" i="8"/>
  <c r="K33" i="8" s="1"/>
  <c r="H34" i="8"/>
  <c r="M34" i="8" s="1"/>
  <c r="H35" i="8"/>
  <c r="K35" i="8" s="1"/>
  <c r="H36" i="8"/>
  <c r="I36" i="8" s="1"/>
  <c r="H37" i="8"/>
  <c r="J37" i="8" s="1"/>
  <c r="H38" i="8"/>
  <c r="M38" i="8" s="1"/>
  <c r="H39" i="8"/>
  <c r="K39" i="8" s="1"/>
  <c r="H40" i="8"/>
  <c r="J40" i="8" s="1"/>
  <c r="H41" i="8"/>
  <c r="J41" i="8" s="1"/>
  <c r="H42" i="8"/>
  <c r="K42" i="8" s="1"/>
  <c r="H43" i="8"/>
  <c r="K43" i="8" s="1"/>
  <c r="H44" i="8"/>
  <c r="J44" i="8" s="1"/>
  <c r="H45" i="8"/>
  <c r="J45" i="8" s="1"/>
  <c r="H46" i="8"/>
  <c r="K46" i="8" s="1"/>
  <c r="H47" i="8"/>
  <c r="K47" i="8" s="1"/>
  <c r="H48" i="8"/>
  <c r="L48" i="8" s="1"/>
  <c r="H49" i="8"/>
  <c r="L49" i="8" s="1"/>
  <c r="H50" i="8"/>
  <c r="L50" i="8" s="1"/>
  <c r="H51" i="8"/>
  <c r="L51" i="8" s="1"/>
  <c r="H52" i="8"/>
  <c r="L52" i="8" s="1"/>
  <c r="H53" i="8"/>
  <c r="K53" i="8" s="1"/>
  <c r="H54" i="8"/>
  <c r="K54" i="8" s="1"/>
  <c r="H55" i="8"/>
  <c r="K55" i="8" s="1"/>
  <c r="H56" i="8"/>
  <c r="J56" i="8" s="1"/>
  <c r="H57" i="8"/>
  <c r="I57" i="8" s="1"/>
  <c r="H58" i="8"/>
  <c r="I58" i="8" s="1"/>
  <c r="H59" i="8"/>
  <c r="J59" i="8" s="1"/>
  <c r="H60" i="8"/>
  <c r="K60" i="8" s="1"/>
  <c r="H61" i="8"/>
  <c r="K61" i="8" s="1"/>
  <c r="H62" i="8"/>
  <c r="K62" i="8" s="1"/>
  <c r="H63" i="8"/>
  <c r="I63" i="8" s="1"/>
  <c r="H64" i="8"/>
  <c r="J64" i="8" s="1"/>
  <c r="H65" i="8"/>
  <c r="L65" i="8" s="1"/>
  <c r="H66" i="8"/>
  <c r="K66" i="8" s="1"/>
  <c r="H67" i="8"/>
  <c r="L67" i="8" s="1"/>
  <c r="H68" i="8"/>
  <c r="L68" i="8" s="1"/>
  <c r="H69" i="8"/>
  <c r="K69" i="8" s="1"/>
  <c r="H70" i="8"/>
  <c r="I70" i="8" s="1"/>
  <c r="H71" i="8"/>
  <c r="J71" i="8" s="1"/>
  <c r="H72" i="8"/>
  <c r="I72" i="8" s="1"/>
  <c r="H73" i="8"/>
  <c r="M73" i="8" s="1"/>
  <c r="H74" i="8"/>
  <c r="K74" i="8" s="1"/>
  <c r="H75" i="8"/>
  <c r="K75" i="8" s="1"/>
  <c r="H76" i="8"/>
  <c r="J76" i="8" s="1"/>
  <c r="H77" i="8"/>
  <c r="J77" i="8" s="1"/>
  <c r="H78" i="8"/>
  <c r="I78" i="8" s="1"/>
  <c r="H79" i="8"/>
  <c r="J79" i="8" s="1"/>
  <c r="H80" i="8"/>
  <c r="L80" i="8" s="1"/>
  <c r="H81" i="8"/>
  <c r="I81" i="8" s="1"/>
  <c r="H82" i="8"/>
  <c r="I82" i="8" s="1"/>
  <c r="H83" i="8"/>
  <c r="I83" i="8" s="1"/>
  <c r="H84" i="8"/>
  <c r="I84" i="8" s="1"/>
  <c r="H85" i="8"/>
  <c r="K85" i="8" s="1"/>
  <c r="H86" i="8"/>
  <c r="M86" i="8" s="1"/>
  <c r="H87" i="8"/>
  <c r="J87" i="8" s="1"/>
  <c r="H88" i="8"/>
  <c r="J88" i="8" s="1"/>
  <c r="H89" i="8"/>
  <c r="I89" i="8" s="1"/>
  <c r="H90" i="8"/>
  <c r="K90" i="8" s="1"/>
  <c r="H91" i="8"/>
  <c r="K91" i="8" s="1"/>
  <c r="H92" i="8"/>
  <c r="K92" i="8" s="1"/>
  <c r="H93" i="8"/>
  <c r="J93" i="8" s="1"/>
  <c r="H94" i="8"/>
  <c r="J94" i="8" s="1"/>
  <c r="H95" i="8"/>
  <c r="J95" i="8" s="1"/>
  <c r="H96" i="8"/>
  <c r="L96" i="8" s="1"/>
  <c r="H97" i="8"/>
  <c r="I97" i="8" s="1"/>
  <c r="H98" i="8"/>
  <c r="I98" i="8" s="1"/>
  <c r="H99" i="8"/>
  <c r="M99" i="8" s="1"/>
  <c r="H100" i="8"/>
  <c r="I100" i="8" s="1"/>
  <c r="H101" i="8"/>
  <c r="J101" i="8" s="1"/>
  <c r="H102" i="8"/>
  <c r="K102" i="8" s="1"/>
  <c r="H103" i="8"/>
  <c r="L103" i="8" s="1"/>
  <c r="H104" i="8"/>
  <c r="I104" i="8" s="1"/>
  <c r="H105" i="8"/>
  <c r="K105" i="8" s="1"/>
  <c r="H106" i="8"/>
  <c r="K106" i="8" s="1"/>
  <c r="H107" i="8"/>
  <c r="I107" i="8" s="1"/>
  <c r="H108" i="8"/>
  <c r="L108" i="8" s="1"/>
  <c r="H109" i="8"/>
  <c r="L109" i="8" s="1"/>
  <c r="H110" i="8"/>
  <c r="I110" i="8" s="1"/>
  <c r="H111" i="8"/>
  <c r="J111" i="8" s="1"/>
  <c r="H112" i="8"/>
  <c r="K112" i="8" s="1"/>
  <c r="H113" i="8"/>
  <c r="I113" i="8" s="1"/>
  <c r="H114" i="8"/>
  <c r="J114" i="8" s="1"/>
  <c r="H115" i="8"/>
  <c r="K115" i="8" s="1"/>
  <c r="H116" i="8"/>
  <c r="J116" i="8" s="1"/>
  <c r="H117" i="8"/>
  <c r="I117" i="8" s="1"/>
  <c r="H118" i="8"/>
  <c r="J118" i="8" s="1"/>
  <c r="H119" i="8"/>
  <c r="J119" i="8" s="1"/>
  <c r="H120" i="8"/>
  <c r="J120" i="8" s="1"/>
  <c r="H121" i="8"/>
  <c r="J121" i="8" s="1"/>
  <c r="H122" i="8"/>
  <c r="J122" i="8" s="1"/>
  <c r="H123" i="8"/>
  <c r="J123" i="8" s="1"/>
  <c r="H124" i="8"/>
  <c r="K124" i="8" s="1"/>
  <c r="H125" i="8"/>
  <c r="J125" i="8" s="1"/>
  <c r="H126" i="8"/>
  <c r="I126" i="8" s="1"/>
  <c r="H127" i="8"/>
  <c r="I127" i="8" s="1"/>
  <c r="H128" i="8"/>
  <c r="K128" i="8" s="1"/>
  <c r="H129" i="8"/>
  <c r="K129" i="8" s="1"/>
  <c r="H130" i="8"/>
  <c r="I130" i="8" s="1"/>
  <c r="H131" i="8"/>
  <c r="I131" i="8" s="1"/>
  <c r="H132" i="8"/>
  <c r="I132" i="8" s="1"/>
  <c r="H133" i="8"/>
  <c r="L133" i="8" s="1"/>
  <c r="H134" i="8"/>
  <c r="J134" i="8" s="1"/>
  <c r="H135" i="8"/>
  <c r="J135" i="8" s="1"/>
  <c r="H136" i="8"/>
  <c r="L136" i="8" s="1"/>
  <c r="H137" i="8"/>
  <c r="I137" i="8" s="1"/>
  <c r="H138" i="8"/>
  <c r="I138" i="8" s="1"/>
  <c r="H139" i="8"/>
  <c r="J139" i="8" s="1"/>
  <c r="H140" i="8"/>
  <c r="M140" i="8" s="1"/>
  <c r="H141" i="8"/>
  <c r="K141" i="8" s="1"/>
  <c r="H142" i="8"/>
  <c r="K142" i="8" s="1"/>
  <c r="H143" i="8"/>
  <c r="K143" i="8" s="1"/>
  <c r="H144" i="8"/>
  <c r="M144" i="8" s="1"/>
  <c r="H145" i="8"/>
  <c r="J145" i="8" s="1"/>
  <c r="H146" i="8"/>
  <c r="K146" i="8" s="1"/>
  <c r="H147" i="8"/>
  <c r="H2" i="8"/>
  <c r="I2" i="8" s="1"/>
  <c r="A3" i="8"/>
  <c r="D3" i="8" s="1"/>
  <c r="A4" i="8"/>
  <c r="D4" i="8" s="1"/>
  <c r="A5" i="8"/>
  <c r="C5" i="8" s="1"/>
  <c r="A6" i="8"/>
  <c r="B6" i="8" s="1"/>
  <c r="A7" i="8"/>
  <c r="F7" i="8" s="1"/>
  <c r="A8" i="8"/>
  <c r="F8" i="8" s="1"/>
  <c r="A9" i="8"/>
  <c r="F9" i="8" s="1"/>
  <c r="A10" i="8"/>
  <c r="D10" i="8" s="1"/>
  <c r="A11" i="8"/>
  <c r="D11" i="8" s="1"/>
  <c r="A12" i="8"/>
  <c r="D12" i="8" s="1"/>
  <c r="A13" i="8"/>
  <c r="F13" i="8" s="1"/>
  <c r="A14" i="8"/>
  <c r="E14" i="8" s="1"/>
  <c r="A15" i="8"/>
  <c r="D15" i="8" s="1"/>
  <c r="A16" i="8"/>
  <c r="D16" i="8" s="1"/>
  <c r="A17" i="8"/>
  <c r="D17" i="8" s="1"/>
  <c r="A18" i="8"/>
  <c r="F18" i="8" s="1"/>
  <c r="A19" i="8"/>
  <c r="B19" i="8" s="1"/>
  <c r="A20" i="8"/>
  <c r="B20" i="8" s="1"/>
  <c r="A21" i="8"/>
  <c r="B21" i="8" s="1"/>
  <c r="A22" i="8"/>
  <c r="D22" i="8" s="1"/>
  <c r="A23" i="8"/>
  <c r="B23" i="8" s="1"/>
  <c r="A24" i="8"/>
  <c r="C24" i="8" s="1"/>
  <c r="A25" i="8"/>
  <c r="E25" i="8" s="1"/>
  <c r="A26" i="8"/>
  <c r="D26" i="8" s="1"/>
  <c r="A27" i="8"/>
  <c r="D27" i="8" s="1"/>
  <c r="A28" i="8"/>
  <c r="C28" i="8" s="1"/>
  <c r="A29" i="8"/>
  <c r="C29" i="8" s="1"/>
  <c r="A30" i="8"/>
  <c r="D30" i="8" s="1"/>
  <c r="A31" i="8"/>
  <c r="D31" i="8" s="1"/>
  <c r="A32" i="8"/>
  <c r="D32" i="8" s="1"/>
  <c r="A33" i="8"/>
  <c r="D33" i="8" s="1"/>
  <c r="A34" i="8"/>
  <c r="F34" i="8" s="1"/>
  <c r="A35" i="8"/>
  <c r="D35" i="8" s="1"/>
  <c r="A36" i="8"/>
  <c r="B36" i="8" s="1"/>
  <c r="A37" i="8"/>
  <c r="C37" i="8" s="1"/>
  <c r="A38" i="8"/>
  <c r="F38" i="8" s="1"/>
  <c r="A39" i="8"/>
  <c r="D39" i="8" s="1"/>
  <c r="A40" i="8"/>
  <c r="C40" i="8" s="1"/>
  <c r="A41" i="8"/>
  <c r="C41" i="8" s="1"/>
  <c r="A42" i="8"/>
  <c r="D42" i="8" s="1"/>
  <c r="A43" i="8"/>
  <c r="D43" i="8" s="1"/>
  <c r="A44" i="8"/>
  <c r="C44" i="8" s="1"/>
  <c r="A45" i="8"/>
  <c r="C45" i="8" s="1"/>
  <c r="A46" i="8"/>
  <c r="D46" i="8" s="1"/>
  <c r="A47" i="8"/>
  <c r="D47" i="8" s="1"/>
  <c r="A48" i="8"/>
  <c r="E48" i="8" s="1"/>
  <c r="A49" i="8"/>
  <c r="E49" i="8" s="1"/>
  <c r="A50" i="8"/>
  <c r="E50" i="8" s="1"/>
  <c r="A51" i="8"/>
  <c r="E51" i="8" s="1"/>
  <c r="A52" i="8"/>
  <c r="E52" i="8" s="1"/>
  <c r="A53" i="8"/>
  <c r="D53" i="8" s="1"/>
  <c r="A54" i="8"/>
  <c r="D54" i="8" s="1"/>
  <c r="A55" i="8"/>
  <c r="D55" i="8" s="1"/>
  <c r="A56" i="8"/>
  <c r="C56" i="8" s="1"/>
  <c r="A57" i="8"/>
  <c r="B57" i="8" s="1"/>
  <c r="A58" i="8"/>
  <c r="B58" i="8" s="1"/>
  <c r="A59" i="8"/>
  <c r="C59" i="8" s="1"/>
  <c r="A60" i="8"/>
  <c r="D60" i="8" s="1"/>
  <c r="A61" i="8"/>
  <c r="D61" i="8" s="1"/>
  <c r="A62" i="8"/>
  <c r="D62" i="8" s="1"/>
  <c r="A63" i="8"/>
  <c r="B63" i="8" s="1"/>
  <c r="A64" i="8"/>
  <c r="C64" i="8" s="1"/>
  <c r="A65" i="8"/>
  <c r="E65" i="8" s="1"/>
  <c r="A66" i="8"/>
  <c r="D66" i="8" s="1"/>
  <c r="A67" i="8"/>
  <c r="E67" i="8" s="1"/>
  <c r="A68" i="8"/>
  <c r="E68" i="8" s="1"/>
  <c r="A69" i="8"/>
  <c r="D69" i="8" s="1"/>
  <c r="A70" i="8"/>
  <c r="B70" i="8" s="1"/>
  <c r="A71" i="8"/>
  <c r="C71" i="8" s="1"/>
  <c r="A72" i="8"/>
  <c r="B72" i="8" s="1"/>
  <c r="A73" i="8"/>
  <c r="F73" i="8" s="1"/>
  <c r="A74" i="8"/>
  <c r="D74" i="8" s="1"/>
  <c r="A75" i="8"/>
  <c r="D75" i="8" s="1"/>
  <c r="A76" i="8"/>
  <c r="C76" i="8" s="1"/>
  <c r="A77" i="8"/>
  <c r="C77" i="8" s="1"/>
  <c r="A78" i="8"/>
  <c r="B78" i="8" s="1"/>
  <c r="A79" i="8"/>
  <c r="C79" i="8" s="1"/>
  <c r="A80" i="8"/>
  <c r="E80" i="8" s="1"/>
  <c r="A81" i="8"/>
  <c r="B81" i="8" s="1"/>
  <c r="A82" i="8"/>
  <c r="B82" i="8" s="1"/>
  <c r="A83" i="8"/>
  <c r="B83" i="8" s="1"/>
  <c r="A84" i="8"/>
  <c r="B84" i="8" s="1"/>
  <c r="A85" i="8"/>
  <c r="D85" i="8" s="1"/>
  <c r="A86" i="8"/>
  <c r="F86" i="8" s="1"/>
  <c r="A87" i="8"/>
  <c r="C87" i="8" s="1"/>
  <c r="A88" i="8"/>
  <c r="C88" i="8" s="1"/>
  <c r="A89" i="8"/>
  <c r="B89" i="8" s="1"/>
  <c r="A90" i="8"/>
  <c r="D90" i="8" s="1"/>
  <c r="A91" i="8"/>
  <c r="D91" i="8" s="1"/>
  <c r="A92" i="8"/>
  <c r="D92" i="8" s="1"/>
  <c r="A93" i="8"/>
  <c r="C93" i="8" s="1"/>
  <c r="A94" i="8"/>
  <c r="C94" i="8" s="1"/>
  <c r="A95" i="8"/>
  <c r="C95" i="8" s="1"/>
  <c r="A96" i="8"/>
  <c r="E96" i="8" s="1"/>
  <c r="A97" i="8"/>
  <c r="B97" i="8" s="1"/>
  <c r="A98" i="8"/>
  <c r="B98" i="8" s="1"/>
  <c r="A99" i="8"/>
  <c r="F99" i="8" s="1"/>
  <c r="A100" i="8"/>
  <c r="B100" i="8" s="1"/>
  <c r="A101" i="8"/>
  <c r="C101" i="8" s="1"/>
  <c r="A102" i="8"/>
  <c r="D102" i="8" s="1"/>
  <c r="A103" i="8"/>
  <c r="E103" i="8" s="1"/>
  <c r="A104" i="8"/>
  <c r="B104" i="8" s="1"/>
  <c r="A105" i="8"/>
  <c r="D105" i="8" s="1"/>
  <c r="A106" i="8"/>
  <c r="D106" i="8" s="1"/>
  <c r="A107" i="8"/>
  <c r="B107" i="8" s="1"/>
  <c r="A108" i="8"/>
  <c r="E108" i="8" s="1"/>
  <c r="A109" i="8"/>
  <c r="E109" i="8" s="1"/>
  <c r="A110" i="8"/>
  <c r="B110" i="8" s="1"/>
  <c r="A111" i="8"/>
  <c r="C111" i="8" s="1"/>
  <c r="A112" i="8"/>
  <c r="D112" i="8" s="1"/>
  <c r="A113" i="8"/>
  <c r="B113" i="8" s="1"/>
  <c r="A114" i="8"/>
  <c r="C114" i="8" s="1"/>
  <c r="A115" i="8"/>
  <c r="D115" i="8" s="1"/>
  <c r="A116" i="8"/>
  <c r="C116" i="8" s="1"/>
  <c r="A117" i="8"/>
  <c r="B117" i="8" s="1"/>
  <c r="A118" i="8"/>
  <c r="C118" i="8" s="1"/>
  <c r="A119" i="8"/>
  <c r="C119" i="8" s="1"/>
  <c r="A120" i="8"/>
  <c r="C120" i="8" s="1"/>
  <c r="A121" i="8"/>
  <c r="C121" i="8" s="1"/>
  <c r="A122" i="8"/>
  <c r="C122" i="8" s="1"/>
  <c r="A123" i="8"/>
  <c r="C123" i="8" s="1"/>
  <c r="A124" i="8"/>
  <c r="D124" i="8" s="1"/>
  <c r="A125" i="8"/>
  <c r="C125" i="8" s="1"/>
  <c r="A126" i="8"/>
  <c r="B126" i="8" s="1"/>
  <c r="A127" i="8"/>
  <c r="B127" i="8" s="1"/>
  <c r="A128" i="8"/>
  <c r="D128" i="8" s="1"/>
  <c r="A129" i="8"/>
  <c r="D129" i="8" s="1"/>
  <c r="A130" i="8"/>
  <c r="B130" i="8" s="1"/>
  <c r="A131" i="8"/>
  <c r="B131" i="8" s="1"/>
  <c r="A132" i="8"/>
  <c r="B132" i="8" s="1"/>
  <c r="A133" i="8"/>
  <c r="E133" i="8" s="1"/>
  <c r="A134" i="8"/>
  <c r="C134" i="8" s="1"/>
  <c r="A135" i="8"/>
  <c r="C135" i="8" s="1"/>
  <c r="A136" i="8"/>
  <c r="E136" i="8" s="1"/>
  <c r="A137" i="8"/>
  <c r="B137" i="8" s="1"/>
  <c r="A138" i="8"/>
  <c r="B138" i="8" s="1"/>
  <c r="A139" i="8"/>
  <c r="C139" i="8" s="1"/>
  <c r="A140" i="8"/>
  <c r="F140" i="8" s="1"/>
  <c r="A141" i="8"/>
  <c r="D141" i="8" s="1"/>
  <c r="A142" i="8"/>
  <c r="D142" i="8" s="1"/>
  <c r="A143" i="8"/>
  <c r="D143" i="8" s="1"/>
  <c r="A144" i="8"/>
  <c r="F144" i="8" s="1"/>
  <c r="A145" i="8"/>
  <c r="C145" i="8" s="1"/>
  <c r="A146" i="8"/>
  <c r="D146" i="8" s="1"/>
  <c r="A147" i="8"/>
  <c r="A2" i="8"/>
  <c r="B2" i="8" s="1"/>
  <c r="BB3" i="7"/>
  <c r="BB4" i="7"/>
  <c r="BB7" i="7"/>
  <c r="BB8" i="7"/>
  <c r="BB10" i="7"/>
  <c r="BB11" i="7"/>
  <c r="BB12" i="7"/>
  <c r="BB15" i="7"/>
  <c r="BB18" i="7"/>
  <c r="BB19" i="7"/>
  <c r="BB20" i="7"/>
  <c r="BB23" i="7"/>
  <c r="BB26" i="7"/>
  <c r="BB27" i="7"/>
  <c r="BB28" i="7"/>
  <c r="BB31" i="7"/>
  <c r="BB34" i="7"/>
  <c r="BB35" i="7"/>
  <c r="BB36" i="7"/>
  <c r="BB39" i="7"/>
  <c r="BB42" i="7"/>
  <c r="BB43" i="7"/>
  <c r="BB44" i="7"/>
  <c r="BB47" i="7"/>
  <c r="BB50" i="7"/>
  <c r="BB51" i="7"/>
  <c r="BB52" i="7"/>
  <c r="BB53" i="7"/>
  <c r="BB55" i="7"/>
  <c r="BB58" i="7"/>
  <c r="BB59" i="7"/>
  <c r="BB60" i="7"/>
  <c r="BB63" i="7"/>
  <c r="BB66" i="7"/>
  <c r="BB67" i="7"/>
  <c r="BB68" i="7"/>
  <c r="BB71" i="7"/>
  <c r="BB72" i="7"/>
  <c r="BB74" i="7"/>
  <c r="BB75" i="7"/>
  <c r="BB76" i="7"/>
  <c r="BB77" i="7"/>
  <c r="BB79" i="7"/>
  <c r="BB82" i="7"/>
  <c r="BB83" i="7"/>
  <c r="BB84" i="7"/>
  <c r="BB87" i="7"/>
  <c r="BB90" i="7"/>
  <c r="BB91" i="7"/>
  <c r="BB92" i="7"/>
  <c r="BB95" i="7"/>
  <c r="BB98" i="7"/>
  <c r="BB100" i="7"/>
  <c r="BB103" i="7"/>
  <c r="BB106" i="7"/>
  <c r="BB107" i="7"/>
  <c r="BB108" i="7"/>
  <c r="BB111" i="7"/>
  <c r="BB114" i="7"/>
  <c r="BB115" i="7"/>
  <c r="BB116" i="7"/>
  <c r="BB117" i="7"/>
  <c r="BB119" i="7"/>
  <c r="BB122" i="7"/>
  <c r="BB123" i="7"/>
  <c r="BB124" i="7"/>
  <c r="BB127" i="7"/>
  <c r="BB130" i="7"/>
  <c r="BB131" i="7"/>
  <c r="BB132" i="7"/>
  <c r="BB135" i="7"/>
  <c r="BB136" i="7"/>
  <c r="BB138" i="7"/>
  <c r="BB139" i="7"/>
  <c r="BB143" i="7"/>
  <c r="BB146" i="7"/>
  <c r="BB147" i="7"/>
  <c r="BA3" i="7"/>
  <c r="BA4" i="7"/>
  <c r="BA7" i="7"/>
  <c r="BA10" i="7"/>
  <c r="BA11" i="7"/>
  <c r="BA12" i="7"/>
  <c r="BA15" i="7"/>
  <c r="BA18" i="7"/>
  <c r="BA19" i="7"/>
  <c r="BA20" i="7"/>
  <c r="BA23" i="7"/>
  <c r="BA26" i="7"/>
  <c r="BA27" i="7"/>
  <c r="BA28" i="7"/>
  <c r="BA31" i="7"/>
  <c r="BA34" i="7"/>
  <c r="BA35" i="7"/>
  <c r="BA36" i="7"/>
  <c r="BA39" i="7"/>
  <c r="BA42" i="7"/>
  <c r="BA43" i="7"/>
  <c r="BA44" i="7"/>
  <c r="BA47" i="7"/>
  <c r="BA50" i="7"/>
  <c r="BA51" i="7"/>
  <c r="BA52" i="7"/>
  <c r="BA55" i="7"/>
  <c r="BA58" i="7"/>
  <c r="BA59" i="7"/>
  <c r="BA60" i="7"/>
  <c r="BA61" i="7"/>
  <c r="BA63" i="7"/>
  <c r="BA64" i="7"/>
  <c r="BA66" i="7"/>
  <c r="BA67" i="7"/>
  <c r="BA68" i="7"/>
  <c r="BA71" i="7"/>
  <c r="BA74" i="7"/>
  <c r="BA75" i="7"/>
  <c r="BA76" i="7"/>
  <c r="BA79" i="7"/>
  <c r="BA82" i="7"/>
  <c r="BA83" i="7"/>
  <c r="BA84" i="7"/>
  <c r="BA85" i="7"/>
  <c r="BA87" i="7"/>
  <c r="BA90" i="7"/>
  <c r="BA91" i="7"/>
  <c r="BA92" i="7"/>
  <c r="BA95" i="7"/>
  <c r="BA98" i="7"/>
  <c r="BA99" i="7"/>
  <c r="BA100" i="7"/>
  <c r="BA103" i="7"/>
  <c r="BA106" i="7"/>
  <c r="BA107" i="7"/>
  <c r="BA108" i="7"/>
  <c r="BA111" i="7"/>
  <c r="BA114" i="7"/>
  <c r="BA115" i="7"/>
  <c r="BA116" i="7"/>
  <c r="BA119" i="7"/>
  <c r="BA122" i="7"/>
  <c r="BA123" i="7"/>
  <c r="BA124" i="7"/>
  <c r="BA127" i="7"/>
  <c r="BA128" i="7"/>
  <c r="BA130" i="7"/>
  <c r="BA131" i="7"/>
  <c r="BA132" i="7"/>
  <c r="BA135" i="7"/>
  <c r="BA138" i="7"/>
  <c r="BA139" i="7"/>
  <c r="BA140" i="7"/>
  <c r="BA143" i="7"/>
  <c r="BA146" i="7"/>
  <c r="BA147" i="7"/>
  <c r="AZ3" i="7"/>
  <c r="AZ4" i="7"/>
  <c r="AZ7" i="7"/>
  <c r="AZ10" i="7"/>
  <c r="AZ11" i="7"/>
  <c r="AZ12" i="7"/>
  <c r="AZ15" i="7"/>
  <c r="AZ18" i="7"/>
  <c r="AZ19" i="7"/>
  <c r="AZ20" i="7"/>
  <c r="AZ23" i="7"/>
  <c r="AZ26" i="7"/>
  <c r="AZ27" i="7"/>
  <c r="AZ28" i="7"/>
  <c r="AZ31" i="7"/>
  <c r="AZ34" i="7"/>
  <c r="AZ35" i="7"/>
  <c r="AZ36" i="7"/>
  <c r="AZ39" i="7"/>
  <c r="AZ42" i="7"/>
  <c r="AZ43" i="7"/>
  <c r="AZ44" i="7"/>
  <c r="AZ47" i="7"/>
  <c r="AZ50" i="7"/>
  <c r="AZ51" i="7"/>
  <c r="AZ52" i="7"/>
  <c r="AZ53" i="7"/>
  <c r="AZ55" i="7"/>
  <c r="AZ56" i="7"/>
  <c r="AZ58" i="7"/>
  <c r="AZ59" i="7"/>
  <c r="AZ60" i="7"/>
  <c r="AZ63" i="7"/>
  <c r="AZ66" i="7"/>
  <c r="AZ67" i="7"/>
  <c r="AZ68" i="7"/>
  <c r="AZ71" i="7"/>
  <c r="AZ74" i="7"/>
  <c r="AZ75" i="7"/>
  <c r="AZ76" i="7"/>
  <c r="AZ77" i="7"/>
  <c r="AZ79" i="7"/>
  <c r="AZ82" i="7"/>
  <c r="AZ83" i="7"/>
  <c r="AZ84" i="7"/>
  <c r="AZ87" i="7"/>
  <c r="AZ90" i="7"/>
  <c r="AZ91" i="7"/>
  <c r="AZ92" i="7"/>
  <c r="AZ95" i="7"/>
  <c r="AZ98" i="7"/>
  <c r="AZ99" i="7"/>
  <c r="AZ100" i="7"/>
  <c r="AZ103" i="7"/>
  <c r="AZ106" i="7"/>
  <c r="AZ107" i="7"/>
  <c r="AZ108" i="7"/>
  <c r="AZ111" i="7"/>
  <c r="AZ114" i="7"/>
  <c r="AZ115" i="7"/>
  <c r="AZ116" i="7"/>
  <c r="AZ119" i="7"/>
  <c r="AZ120" i="7"/>
  <c r="AZ122" i="7"/>
  <c r="AZ123" i="7"/>
  <c r="AZ124" i="7"/>
  <c r="AZ127" i="7"/>
  <c r="AZ130" i="7"/>
  <c r="AZ131" i="7"/>
  <c r="AZ132" i="7"/>
  <c r="AZ135" i="7"/>
  <c r="AZ138" i="7"/>
  <c r="AZ139" i="7"/>
  <c r="AZ140" i="7"/>
  <c r="AZ143" i="7"/>
  <c r="AZ146" i="7"/>
  <c r="AZ147" i="7"/>
  <c r="AY3" i="7"/>
  <c r="AY4" i="7"/>
  <c r="AY7" i="7"/>
  <c r="AY10" i="7"/>
  <c r="AY11" i="7"/>
  <c r="AY12" i="7"/>
  <c r="AY15" i="7"/>
  <c r="AY18" i="7"/>
  <c r="AY19" i="7"/>
  <c r="AY20" i="7"/>
  <c r="AY23" i="7"/>
  <c r="AY26" i="7"/>
  <c r="AY27" i="7"/>
  <c r="AY28" i="7"/>
  <c r="AY31" i="7"/>
  <c r="AY34" i="7"/>
  <c r="AY35" i="7"/>
  <c r="AY36" i="7"/>
  <c r="AY39" i="7"/>
  <c r="AY42" i="7"/>
  <c r="AY43" i="7"/>
  <c r="AY44" i="7"/>
  <c r="AY45" i="7"/>
  <c r="AY47" i="7"/>
  <c r="AY48" i="7"/>
  <c r="AY50" i="7"/>
  <c r="AY51" i="7"/>
  <c r="AY52" i="7"/>
  <c r="AY55" i="7"/>
  <c r="AY58" i="7"/>
  <c r="AY59" i="7"/>
  <c r="AY60" i="7"/>
  <c r="AY63" i="7"/>
  <c r="AY66" i="7"/>
  <c r="AY67" i="7"/>
  <c r="AY68" i="7"/>
  <c r="AY69" i="7"/>
  <c r="AY71" i="7"/>
  <c r="AY74" i="7"/>
  <c r="AY75" i="7"/>
  <c r="AY76" i="7"/>
  <c r="AY79" i="7"/>
  <c r="AY82" i="7"/>
  <c r="AY83" i="7"/>
  <c r="AY84" i="7"/>
  <c r="AY87" i="7"/>
  <c r="AY90" i="7"/>
  <c r="AY91" i="7"/>
  <c r="AY92" i="7"/>
  <c r="AY95" i="7"/>
  <c r="AY98" i="7"/>
  <c r="AY99" i="7"/>
  <c r="AY100" i="7"/>
  <c r="AY103" i="7"/>
  <c r="AY106" i="7"/>
  <c r="AY107" i="7"/>
  <c r="AY108" i="7"/>
  <c r="AY111" i="7"/>
  <c r="AY112" i="7"/>
  <c r="AY114" i="7"/>
  <c r="AY115" i="7"/>
  <c r="AY116" i="7"/>
  <c r="AY119" i="7"/>
  <c r="AY122" i="7"/>
  <c r="AY123" i="7"/>
  <c r="AY124" i="7"/>
  <c r="AY127" i="7"/>
  <c r="AY130" i="7"/>
  <c r="AY131" i="7"/>
  <c r="AY132" i="7"/>
  <c r="AY135" i="7"/>
  <c r="AY138" i="7"/>
  <c r="AY139" i="7"/>
  <c r="AY140" i="7"/>
  <c r="AY143" i="7"/>
  <c r="AY146" i="7"/>
  <c r="AY147" i="7"/>
  <c r="AX3" i="7"/>
  <c r="AX4" i="7"/>
  <c r="AX7" i="7"/>
  <c r="AX10" i="7"/>
  <c r="AX11" i="7"/>
  <c r="AX12" i="7"/>
  <c r="AX15" i="7"/>
  <c r="AX18" i="7"/>
  <c r="AX19" i="7"/>
  <c r="AX20" i="7"/>
  <c r="AX23" i="7"/>
  <c r="AX26" i="7"/>
  <c r="AX27" i="7"/>
  <c r="AX28" i="7"/>
  <c r="AX31" i="7"/>
  <c r="AX35" i="7"/>
  <c r="AX36" i="7"/>
  <c r="AX39" i="7"/>
  <c r="AX40" i="7"/>
  <c r="AX42" i="7"/>
  <c r="AX43" i="7"/>
  <c r="AX44" i="7"/>
  <c r="AX47" i="7"/>
  <c r="AX50" i="7"/>
  <c r="AX51" i="7"/>
  <c r="AX52" i="7"/>
  <c r="AX55" i="7"/>
  <c r="AX58" i="7"/>
  <c r="AX59" i="7"/>
  <c r="AX60" i="7"/>
  <c r="AX63" i="7"/>
  <c r="AX66" i="7"/>
  <c r="AX67" i="7"/>
  <c r="AX68" i="7"/>
  <c r="AX71" i="7"/>
  <c r="AX74" i="7"/>
  <c r="AX75" i="7"/>
  <c r="AX76" i="7"/>
  <c r="AX79" i="7"/>
  <c r="AX82" i="7"/>
  <c r="AX83" i="7"/>
  <c r="AX84" i="7"/>
  <c r="AX87" i="7"/>
  <c r="AX90" i="7"/>
  <c r="AX91" i="7"/>
  <c r="AX92" i="7"/>
  <c r="AX95" i="7"/>
  <c r="AX98" i="7"/>
  <c r="AX99" i="7"/>
  <c r="AX100" i="7"/>
  <c r="AX101" i="7"/>
  <c r="AX103" i="7"/>
  <c r="AX104" i="7"/>
  <c r="AX106" i="7"/>
  <c r="AX107" i="7"/>
  <c r="AX108" i="7"/>
  <c r="AX111" i="7"/>
  <c r="AX114" i="7"/>
  <c r="AX115" i="7"/>
  <c r="AX116" i="7"/>
  <c r="AX119" i="7"/>
  <c r="AX122" i="7"/>
  <c r="AX123" i="7"/>
  <c r="AX124" i="7"/>
  <c r="AX125" i="7"/>
  <c r="AX127" i="7"/>
  <c r="AX130" i="7"/>
  <c r="AX131" i="7"/>
  <c r="AX132" i="7"/>
  <c r="AX135" i="7"/>
  <c r="AX138" i="7"/>
  <c r="AX139" i="7"/>
  <c r="AX140" i="7"/>
  <c r="AX143" i="7"/>
  <c r="AX146" i="7"/>
  <c r="AX147" i="7"/>
  <c r="AW3" i="7"/>
  <c r="AW4" i="7"/>
  <c r="AW5" i="7"/>
  <c r="AW7" i="7"/>
  <c r="AW10" i="7"/>
  <c r="AW11" i="7"/>
  <c r="AW12" i="7"/>
  <c r="AW15" i="7"/>
  <c r="AW19" i="7"/>
  <c r="AW20" i="7"/>
  <c r="AW23" i="7"/>
  <c r="AW26" i="7"/>
  <c r="AW27" i="7"/>
  <c r="AW28" i="7"/>
  <c r="AW30" i="7"/>
  <c r="AW31" i="7"/>
  <c r="AW32" i="7"/>
  <c r="AW34" i="7"/>
  <c r="AW35" i="7"/>
  <c r="AW36" i="7"/>
  <c r="AW39" i="7"/>
  <c r="AW42" i="7"/>
  <c r="AW43" i="7"/>
  <c r="AW44" i="7"/>
  <c r="AW47" i="7"/>
  <c r="AW50" i="7"/>
  <c r="AW51" i="7"/>
  <c r="AW52" i="7"/>
  <c r="AW55" i="7"/>
  <c r="AW58" i="7"/>
  <c r="AW59" i="7"/>
  <c r="AW60" i="7"/>
  <c r="AW63" i="7"/>
  <c r="AW66" i="7"/>
  <c r="AW67" i="7"/>
  <c r="AW68" i="7"/>
  <c r="AW71" i="7"/>
  <c r="AW74" i="7"/>
  <c r="AW75" i="7"/>
  <c r="AW76" i="7"/>
  <c r="AW79" i="7"/>
  <c r="AW82" i="7"/>
  <c r="AW83" i="7"/>
  <c r="AW84" i="7"/>
  <c r="AW87" i="7"/>
  <c r="AW90" i="7"/>
  <c r="AW91" i="7"/>
  <c r="AW92" i="7"/>
  <c r="AW93" i="7"/>
  <c r="AW95" i="7"/>
  <c r="AW96" i="7"/>
  <c r="AW98" i="7"/>
  <c r="AW99" i="7"/>
  <c r="AW100" i="7"/>
  <c r="AW102" i="7"/>
  <c r="AW103" i="7"/>
  <c r="AW106" i="7"/>
  <c r="AW107" i="7"/>
  <c r="AW108" i="7"/>
  <c r="AW111" i="7"/>
  <c r="AW114" i="7"/>
  <c r="AW115" i="7"/>
  <c r="AW116" i="7"/>
  <c r="AW119" i="7"/>
  <c r="AW122" i="7"/>
  <c r="AW123" i="7"/>
  <c r="AW124" i="7"/>
  <c r="AW126" i="7"/>
  <c r="AW127" i="7"/>
  <c r="AW130" i="7"/>
  <c r="AW131" i="7"/>
  <c r="AW132" i="7"/>
  <c r="AW135" i="7"/>
  <c r="AW138" i="7"/>
  <c r="AW139" i="7"/>
  <c r="AW140" i="7"/>
  <c r="AW143" i="7"/>
  <c r="AW146" i="7"/>
  <c r="AW147" i="7"/>
  <c r="AV3" i="7"/>
  <c r="AV4" i="7"/>
  <c r="AV7" i="7"/>
  <c r="AV10" i="7"/>
  <c r="AV11" i="7"/>
  <c r="AV12" i="7"/>
  <c r="AV15" i="7"/>
  <c r="AV18" i="7"/>
  <c r="AV19" i="7"/>
  <c r="AV20" i="7"/>
  <c r="AV23" i="7"/>
  <c r="AV24" i="7"/>
  <c r="AV26" i="7"/>
  <c r="AV27" i="7"/>
  <c r="AV28" i="7"/>
  <c r="AV31" i="7"/>
  <c r="AV34" i="7"/>
  <c r="AV35" i="7"/>
  <c r="AV36" i="7"/>
  <c r="AV39" i="7"/>
  <c r="AV42" i="7"/>
  <c r="AV43" i="7"/>
  <c r="AV44" i="7"/>
  <c r="AV47" i="7"/>
  <c r="AV50" i="7"/>
  <c r="AV51" i="7"/>
  <c r="AV52" i="7"/>
  <c r="AV55" i="7"/>
  <c r="AV58" i="7"/>
  <c r="AV59" i="7"/>
  <c r="AV60" i="7"/>
  <c r="AV62" i="7"/>
  <c r="AV63" i="7"/>
  <c r="AV66" i="7"/>
  <c r="AV67" i="7"/>
  <c r="AV68" i="7"/>
  <c r="AV71" i="7"/>
  <c r="AV74" i="7"/>
  <c r="AV75" i="7"/>
  <c r="AV76" i="7"/>
  <c r="AV79" i="7"/>
  <c r="AV82" i="7"/>
  <c r="AV83" i="7"/>
  <c r="AV84" i="7"/>
  <c r="AV86" i="7"/>
  <c r="AV87" i="7"/>
  <c r="AV88" i="7"/>
  <c r="AV90" i="7"/>
  <c r="AV91" i="7"/>
  <c r="AV92" i="7"/>
  <c r="AV95" i="7"/>
  <c r="AV98" i="7"/>
  <c r="AV99" i="7"/>
  <c r="AV100" i="7"/>
  <c r="AV103" i="7"/>
  <c r="AV106" i="7"/>
  <c r="AV107" i="7"/>
  <c r="AV108" i="7"/>
  <c r="AV111" i="7"/>
  <c r="AV114" i="7"/>
  <c r="AV115" i="7"/>
  <c r="AV116" i="7"/>
  <c r="AV119" i="7"/>
  <c r="AV122" i="7"/>
  <c r="AV123" i="7"/>
  <c r="AV124" i="7"/>
  <c r="AV127" i="7"/>
  <c r="AV130" i="7"/>
  <c r="AV131" i="7"/>
  <c r="AV132" i="7"/>
  <c r="AV135" i="7"/>
  <c r="AV138" i="7"/>
  <c r="AV139" i="7"/>
  <c r="AV140" i="7"/>
  <c r="AV141" i="7"/>
  <c r="AV143" i="7"/>
  <c r="AV146" i="7"/>
  <c r="AV147" i="7"/>
  <c r="BA2" i="7"/>
  <c r="AQ3" i="7"/>
  <c r="AQ4" i="7"/>
  <c r="AQ5" i="7"/>
  <c r="AQ8" i="7"/>
  <c r="AQ10" i="7"/>
  <c r="AQ11" i="7"/>
  <c r="AQ12" i="7"/>
  <c r="AQ13" i="7"/>
  <c r="AQ18" i="7"/>
  <c r="AQ19" i="7"/>
  <c r="AQ20" i="7"/>
  <c r="AQ21" i="7"/>
  <c r="AQ23" i="7"/>
  <c r="AQ26" i="7"/>
  <c r="AQ27" i="7"/>
  <c r="AQ28" i="7"/>
  <c r="AQ29" i="7"/>
  <c r="AQ34" i="7"/>
  <c r="AQ35" i="7"/>
  <c r="AQ36" i="7"/>
  <c r="AQ37" i="7"/>
  <c r="AQ42" i="7"/>
  <c r="AQ43" i="7"/>
  <c r="AQ44" i="7"/>
  <c r="AQ45" i="7"/>
  <c r="AQ47" i="7"/>
  <c r="AQ53" i="7"/>
  <c r="AQ58" i="7"/>
  <c r="AQ59" i="7"/>
  <c r="AQ60" i="7"/>
  <c r="AQ61" i="7"/>
  <c r="AQ66" i="7"/>
  <c r="AQ69" i="7"/>
  <c r="AQ70" i="7"/>
  <c r="AQ72" i="7"/>
  <c r="AQ74" i="7"/>
  <c r="AQ75" i="7"/>
  <c r="AQ76" i="7"/>
  <c r="AQ77" i="7"/>
  <c r="AQ79" i="7"/>
  <c r="AQ82" i="7"/>
  <c r="AQ83" i="7"/>
  <c r="AQ84" i="7"/>
  <c r="AQ85" i="7"/>
  <c r="AQ90" i="7"/>
  <c r="AQ91" i="7"/>
  <c r="AQ92" i="7"/>
  <c r="AQ93" i="7"/>
  <c r="AQ98" i="7"/>
  <c r="AQ99" i="7"/>
  <c r="AQ100" i="7"/>
  <c r="AQ101" i="7"/>
  <c r="AQ106" i="7"/>
  <c r="AQ107" i="7"/>
  <c r="AQ114" i="7"/>
  <c r="AQ115" i="7"/>
  <c r="AQ116" i="7"/>
  <c r="AQ117" i="7"/>
  <c r="AQ119" i="7"/>
  <c r="AQ122" i="7"/>
  <c r="AQ123" i="7"/>
  <c r="AQ124" i="7"/>
  <c r="AQ125" i="7"/>
  <c r="AQ130" i="7"/>
  <c r="AQ131" i="7"/>
  <c r="AQ132" i="7"/>
  <c r="AQ138" i="7"/>
  <c r="AQ139" i="7"/>
  <c r="AQ140" i="7"/>
  <c r="AQ141" i="7"/>
  <c r="AQ146" i="7"/>
  <c r="AQ147" i="7"/>
  <c r="AP3" i="7"/>
  <c r="AP4" i="7"/>
  <c r="AP5" i="7"/>
  <c r="AP10" i="7"/>
  <c r="AP11" i="7"/>
  <c r="AP12" i="7"/>
  <c r="AP13" i="7"/>
  <c r="AP18" i="7"/>
  <c r="AP19" i="7"/>
  <c r="AP20" i="7"/>
  <c r="AP21" i="7"/>
  <c r="AP23" i="7"/>
  <c r="AP26" i="7"/>
  <c r="AP27" i="7"/>
  <c r="AP28" i="7"/>
  <c r="AP29" i="7"/>
  <c r="AP34" i="7"/>
  <c r="AP35" i="7"/>
  <c r="AP36" i="7"/>
  <c r="AP37" i="7"/>
  <c r="AP42" i="7"/>
  <c r="AP43" i="7"/>
  <c r="AP44" i="7"/>
  <c r="AP45" i="7"/>
  <c r="AP47" i="7"/>
  <c r="AP50" i="7"/>
  <c r="AP51" i="7"/>
  <c r="AP52" i="7"/>
  <c r="AP53" i="7"/>
  <c r="AP58" i="7"/>
  <c r="AP59" i="7"/>
  <c r="AP60" i="7"/>
  <c r="AP61" i="7"/>
  <c r="AP64" i="7"/>
  <c r="AP66" i="7"/>
  <c r="AP67" i="7"/>
  <c r="AP68" i="7"/>
  <c r="AP69" i="7"/>
  <c r="AP74" i="7"/>
  <c r="AP75" i="7"/>
  <c r="AP76" i="7"/>
  <c r="AP77" i="7"/>
  <c r="AP82" i="7"/>
  <c r="AP83" i="7"/>
  <c r="AP84" i="7"/>
  <c r="AP85" i="7"/>
  <c r="AP90" i="7"/>
  <c r="AP91" i="7"/>
  <c r="AP92" i="7"/>
  <c r="AP93" i="7"/>
  <c r="AP95" i="7"/>
  <c r="AP98" i="7"/>
  <c r="AP99" i="7"/>
  <c r="AP100" i="7"/>
  <c r="AP101" i="7"/>
  <c r="AP106" i="7"/>
  <c r="AP107" i="7"/>
  <c r="AP108" i="7"/>
  <c r="AP109" i="7"/>
  <c r="AP114" i="7"/>
  <c r="AP115" i="7"/>
  <c r="AP116" i="7"/>
  <c r="AP117" i="7"/>
  <c r="AP119" i="7"/>
  <c r="AP122" i="7"/>
  <c r="AP123" i="7"/>
  <c r="AP124" i="7"/>
  <c r="AP125" i="7"/>
  <c r="AP128" i="7"/>
  <c r="AP130" i="7"/>
  <c r="AP131" i="7"/>
  <c r="AP132" i="7"/>
  <c r="AP133" i="7"/>
  <c r="AP138" i="7"/>
  <c r="AP139" i="7"/>
  <c r="AP140" i="7"/>
  <c r="AP141" i="7"/>
  <c r="AP146" i="7"/>
  <c r="AP147" i="7"/>
  <c r="AO3" i="7"/>
  <c r="AO4" i="7"/>
  <c r="AO5" i="7"/>
  <c r="AO7" i="7"/>
  <c r="AO10" i="7"/>
  <c r="AO11" i="7"/>
  <c r="AO12" i="7"/>
  <c r="AO13" i="7"/>
  <c r="AO18" i="7"/>
  <c r="AO19" i="7"/>
  <c r="AO20" i="7"/>
  <c r="AO21" i="7"/>
  <c r="AO26" i="7"/>
  <c r="AO27" i="7"/>
  <c r="AO28" i="7"/>
  <c r="AO29" i="7"/>
  <c r="AO34" i="7"/>
  <c r="AO35" i="7"/>
  <c r="AO36" i="7"/>
  <c r="AO37" i="7"/>
  <c r="AO42" i="7"/>
  <c r="AO43" i="7"/>
  <c r="AO44" i="7"/>
  <c r="AO45" i="7"/>
  <c r="AO47" i="7"/>
  <c r="AO50" i="7"/>
  <c r="AO51" i="7"/>
  <c r="AO52" i="7"/>
  <c r="AO53" i="7"/>
  <c r="AO56" i="7"/>
  <c r="AO58" i="7"/>
  <c r="AO59" i="7"/>
  <c r="AO60" i="7"/>
  <c r="AO61" i="7"/>
  <c r="AO62" i="7"/>
  <c r="AO66" i="7"/>
  <c r="AO67" i="7"/>
  <c r="AO68" i="7"/>
  <c r="AO69" i="7"/>
  <c r="AO74" i="7"/>
  <c r="AO75" i="7"/>
  <c r="AO76" i="7"/>
  <c r="AO77" i="7"/>
  <c r="AO79" i="7"/>
  <c r="AO82" i="7"/>
  <c r="AO83" i="7"/>
  <c r="AO84" i="7"/>
  <c r="AO85" i="7"/>
  <c r="AO90" i="7"/>
  <c r="AO91" i="7"/>
  <c r="AO92" i="7"/>
  <c r="AO93" i="7"/>
  <c r="AO98" i="7"/>
  <c r="AO99" i="7"/>
  <c r="AO100" i="7"/>
  <c r="AO101" i="7"/>
  <c r="AO102" i="7"/>
  <c r="AO103" i="7"/>
  <c r="AO106" i="7"/>
  <c r="AO107" i="7"/>
  <c r="AO108" i="7"/>
  <c r="AO109" i="7"/>
  <c r="AO114" i="7"/>
  <c r="AO115" i="7"/>
  <c r="AO116" i="7"/>
  <c r="AO117" i="7"/>
  <c r="AO120" i="7"/>
  <c r="AO122" i="7"/>
  <c r="AO123" i="7"/>
  <c r="AO124" i="7"/>
  <c r="AO125" i="7"/>
  <c r="AO127" i="7"/>
  <c r="AO130" i="7"/>
  <c r="AO131" i="7"/>
  <c r="AO132" i="7"/>
  <c r="AO133" i="7"/>
  <c r="AO138" i="7"/>
  <c r="AO139" i="7"/>
  <c r="AO140" i="7"/>
  <c r="AO141" i="7"/>
  <c r="AO146" i="7"/>
  <c r="AO147" i="7"/>
  <c r="AN3" i="7"/>
  <c r="AN4" i="7"/>
  <c r="AN5" i="7"/>
  <c r="AN7" i="7"/>
  <c r="AN10" i="7"/>
  <c r="AN11" i="7"/>
  <c r="AN12" i="7"/>
  <c r="AN13" i="7"/>
  <c r="AN16" i="7"/>
  <c r="AN18" i="7"/>
  <c r="AN19" i="7"/>
  <c r="AN20" i="7"/>
  <c r="AN21" i="7"/>
  <c r="AN26" i="7"/>
  <c r="AN27" i="7"/>
  <c r="AN28" i="7"/>
  <c r="AN29" i="7"/>
  <c r="AN31" i="7"/>
  <c r="AN34" i="7"/>
  <c r="AN35" i="7"/>
  <c r="AN36" i="7"/>
  <c r="AN37" i="7"/>
  <c r="AN42" i="7"/>
  <c r="AN43" i="7"/>
  <c r="AN44" i="7"/>
  <c r="AN45" i="7"/>
  <c r="AN48" i="7"/>
  <c r="AN50" i="7"/>
  <c r="AN51" i="7"/>
  <c r="AN52" i="7"/>
  <c r="AN53" i="7"/>
  <c r="AN55" i="7"/>
  <c r="AN58" i="7"/>
  <c r="AN59" i="7"/>
  <c r="AN60" i="7"/>
  <c r="AN61" i="7"/>
  <c r="AN66" i="7"/>
  <c r="AN67" i="7"/>
  <c r="AN68" i="7"/>
  <c r="AN69" i="7"/>
  <c r="AN74" i="7"/>
  <c r="AN75" i="7"/>
  <c r="AN76" i="7"/>
  <c r="AN77" i="7"/>
  <c r="AN80" i="7"/>
  <c r="AN82" i="7"/>
  <c r="AN83" i="7"/>
  <c r="AN84" i="7"/>
  <c r="AN85" i="7"/>
  <c r="AN87" i="7"/>
  <c r="AN90" i="7"/>
  <c r="AN91" i="7"/>
  <c r="AN92" i="7"/>
  <c r="AN93" i="7"/>
  <c r="AN98" i="7"/>
  <c r="AN99" i="7"/>
  <c r="AN100" i="7"/>
  <c r="AN101" i="7"/>
  <c r="AN106" i="7"/>
  <c r="AN107" i="7"/>
  <c r="AN108" i="7"/>
  <c r="AN109" i="7"/>
  <c r="AN112" i="7"/>
  <c r="AN114" i="7"/>
  <c r="AN115" i="7"/>
  <c r="AN116" i="7"/>
  <c r="AN117" i="7"/>
  <c r="AN122" i="7"/>
  <c r="AN123" i="7"/>
  <c r="AN124" i="7"/>
  <c r="AN125" i="7"/>
  <c r="AN130" i="7"/>
  <c r="AN131" i="7"/>
  <c r="AN132" i="7"/>
  <c r="AN133" i="7"/>
  <c r="AN135" i="7"/>
  <c r="AN138" i="7"/>
  <c r="AN139" i="7"/>
  <c r="AN140" i="7"/>
  <c r="AN141" i="7"/>
  <c r="AN144" i="7"/>
  <c r="AN146" i="7"/>
  <c r="AN147" i="7"/>
  <c r="AM3" i="7"/>
  <c r="AM4" i="7"/>
  <c r="AM5" i="7"/>
  <c r="AM8" i="7"/>
  <c r="AM10" i="7"/>
  <c r="AM11" i="7"/>
  <c r="AM12" i="7"/>
  <c r="AM13" i="7"/>
  <c r="AM18" i="7"/>
  <c r="AM19" i="7"/>
  <c r="AM20" i="7"/>
  <c r="AM21" i="7"/>
  <c r="AM23" i="7"/>
  <c r="AM26" i="7"/>
  <c r="AM27" i="7"/>
  <c r="AM28" i="7"/>
  <c r="AM29" i="7"/>
  <c r="AM34" i="7"/>
  <c r="AM35" i="7"/>
  <c r="AM36" i="7"/>
  <c r="AM37" i="7"/>
  <c r="AM40" i="7"/>
  <c r="AM42" i="7"/>
  <c r="AM43" i="7"/>
  <c r="AM44" i="7"/>
  <c r="AM45" i="7"/>
  <c r="AM50" i="7"/>
  <c r="AM51" i="7"/>
  <c r="AM52" i="7"/>
  <c r="AM53" i="7"/>
  <c r="AM58" i="7"/>
  <c r="AM59" i="7"/>
  <c r="AM60" i="7"/>
  <c r="AM61" i="7"/>
  <c r="AM66" i="7"/>
  <c r="AM67" i="7"/>
  <c r="AM68" i="7"/>
  <c r="AM69" i="7"/>
  <c r="AM72" i="7"/>
  <c r="AM74" i="7"/>
  <c r="AM75" i="7"/>
  <c r="AM76" i="7"/>
  <c r="AM77" i="7"/>
  <c r="AM79" i="7"/>
  <c r="AM82" i="7"/>
  <c r="AM83" i="7"/>
  <c r="AM84" i="7"/>
  <c r="AM85" i="7"/>
  <c r="AM90" i="7"/>
  <c r="AM91" i="7"/>
  <c r="AM92" i="7"/>
  <c r="AM93" i="7"/>
  <c r="AM98" i="7"/>
  <c r="AM99" i="7"/>
  <c r="AM100" i="7"/>
  <c r="AM101" i="7"/>
  <c r="AM104" i="7"/>
  <c r="AM106" i="7"/>
  <c r="AM107" i="7"/>
  <c r="AM108" i="7"/>
  <c r="AM109" i="7"/>
  <c r="AM114" i="7"/>
  <c r="AM115" i="7"/>
  <c r="AM116" i="7"/>
  <c r="AM117" i="7"/>
  <c r="AM122" i="7"/>
  <c r="AM123" i="7"/>
  <c r="AM124" i="7"/>
  <c r="AM125" i="7"/>
  <c r="AM127" i="7"/>
  <c r="AM130" i="7"/>
  <c r="AM131" i="7"/>
  <c r="AM132" i="7"/>
  <c r="AM133" i="7"/>
  <c r="AM136" i="7"/>
  <c r="AM138" i="7"/>
  <c r="AM139" i="7"/>
  <c r="AM140" i="7"/>
  <c r="AM141" i="7"/>
  <c r="AM146" i="7"/>
  <c r="AM147" i="7"/>
  <c r="AL3" i="7"/>
  <c r="AL4" i="7"/>
  <c r="AL5" i="7"/>
  <c r="AL10" i="7"/>
  <c r="AL11" i="7"/>
  <c r="AL12" i="7"/>
  <c r="AL13" i="7"/>
  <c r="AL15" i="7"/>
  <c r="AL18" i="7"/>
  <c r="AL19" i="7"/>
  <c r="AL20" i="7"/>
  <c r="AL21" i="7"/>
  <c r="AL26" i="7"/>
  <c r="AL27" i="7"/>
  <c r="AL28" i="7"/>
  <c r="AL29" i="7"/>
  <c r="AL32" i="7"/>
  <c r="AL34" i="7"/>
  <c r="AL35" i="7"/>
  <c r="AL36" i="7"/>
  <c r="AL37" i="7"/>
  <c r="AL39" i="7"/>
  <c r="AL42" i="7"/>
  <c r="AL43" i="7"/>
  <c r="AL44" i="7"/>
  <c r="AL45" i="7"/>
  <c r="AL50" i="7"/>
  <c r="AL51" i="7"/>
  <c r="AL52" i="7"/>
  <c r="AL53" i="7"/>
  <c r="AL58" i="7"/>
  <c r="AL59" i="7"/>
  <c r="AL60" i="7"/>
  <c r="AL61" i="7"/>
  <c r="AL63" i="7"/>
  <c r="AL64" i="7"/>
  <c r="AL66" i="7"/>
  <c r="AL67" i="7"/>
  <c r="AL68" i="7"/>
  <c r="AL69" i="7"/>
  <c r="AL74" i="7"/>
  <c r="AL75" i="7"/>
  <c r="AL76" i="7"/>
  <c r="AL77" i="7"/>
  <c r="AL82" i="7"/>
  <c r="AL83" i="7"/>
  <c r="AL84" i="7"/>
  <c r="AL85" i="7"/>
  <c r="AL90" i="7"/>
  <c r="AL91" i="7"/>
  <c r="AL92" i="7"/>
  <c r="AL93" i="7"/>
  <c r="AL96" i="7"/>
  <c r="AL98" i="7"/>
  <c r="AL99" i="7"/>
  <c r="AL100" i="7"/>
  <c r="AL101" i="7"/>
  <c r="AL106" i="7"/>
  <c r="AL107" i="7"/>
  <c r="AL108" i="7"/>
  <c r="AL109" i="7"/>
  <c r="AL114" i="7"/>
  <c r="AL115" i="7"/>
  <c r="AL116" i="7"/>
  <c r="AL117" i="7"/>
  <c r="AL122" i="7"/>
  <c r="AL123" i="7"/>
  <c r="AL124" i="7"/>
  <c r="AL125" i="7"/>
  <c r="AL128" i="7"/>
  <c r="AL130" i="7"/>
  <c r="AL131" i="7"/>
  <c r="AL132" i="7"/>
  <c r="AL133" i="7"/>
  <c r="AL138" i="7"/>
  <c r="AL139" i="7"/>
  <c r="AL140" i="7"/>
  <c r="AL141" i="7"/>
  <c r="AL146" i="7"/>
  <c r="AL147" i="7"/>
  <c r="AK3" i="7"/>
  <c r="AK4" i="7"/>
  <c r="AK5" i="7"/>
  <c r="AK9" i="7"/>
  <c r="AK10" i="7"/>
  <c r="AK11" i="7"/>
  <c r="AK12" i="7"/>
  <c r="AK13" i="7"/>
  <c r="AK17" i="7"/>
  <c r="AK18" i="7"/>
  <c r="AK19" i="7"/>
  <c r="AK20" i="7"/>
  <c r="AK21" i="7"/>
  <c r="AK25" i="7"/>
  <c r="AK26" i="7"/>
  <c r="AK27" i="7"/>
  <c r="AK28" i="7"/>
  <c r="AK29" i="7"/>
  <c r="AK31" i="7"/>
  <c r="AK33" i="7"/>
  <c r="AK34" i="7"/>
  <c r="AK35" i="7"/>
  <c r="AK36" i="7"/>
  <c r="AK37" i="7"/>
  <c r="AK41" i="7"/>
  <c r="AK42" i="7"/>
  <c r="AK43" i="7"/>
  <c r="AK44" i="7"/>
  <c r="AK45" i="7"/>
  <c r="AK49" i="7"/>
  <c r="AK50" i="7"/>
  <c r="AK51" i="7"/>
  <c r="AK52" i="7"/>
  <c r="AK53" i="7"/>
  <c r="AK57" i="7"/>
  <c r="AK58" i="7"/>
  <c r="AK59" i="7"/>
  <c r="AK60" i="7"/>
  <c r="AK61" i="7"/>
  <c r="AK63" i="7"/>
  <c r="AK65" i="7"/>
  <c r="AK66" i="7"/>
  <c r="AK67" i="7"/>
  <c r="AK68" i="7"/>
  <c r="AK69" i="7"/>
  <c r="AK73" i="7"/>
  <c r="AK74" i="7"/>
  <c r="AK75" i="7"/>
  <c r="AK76" i="7"/>
  <c r="AK77" i="7"/>
  <c r="AK81" i="7"/>
  <c r="AK82" i="7"/>
  <c r="AK83" i="7"/>
  <c r="AK84" i="7"/>
  <c r="AK85" i="7"/>
  <c r="AK89" i="7"/>
  <c r="AK90" i="7"/>
  <c r="AK91" i="7"/>
  <c r="AK92" i="7"/>
  <c r="AK93" i="7"/>
  <c r="AK97" i="7"/>
  <c r="AK98" i="7"/>
  <c r="AK99" i="7"/>
  <c r="AK100" i="7"/>
  <c r="AK101" i="7"/>
  <c r="AK103" i="7"/>
  <c r="AK105" i="7"/>
  <c r="AK106" i="7"/>
  <c r="AK107" i="7"/>
  <c r="AK108" i="7"/>
  <c r="AK109" i="7"/>
  <c r="AK113" i="7"/>
  <c r="AK114" i="7"/>
  <c r="AK115" i="7"/>
  <c r="AK116" i="7"/>
  <c r="AK117" i="7"/>
  <c r="AK121" i="7"/>
  <c r="AK122" i="7"/>
  <c r="AK123" i="7"/>
  <c r="AK124" i="7"/>
  <c r="AK125" i="7"/>
  <c r="AK129" i="7"/>
  <c r="AK130" i="7"/>
  <c r="AK131" i="7"/>
  <c r="AK132" i="7"/>
  <c r="AK133" i="7"/>
  <c r="AK135" i="7"/>
  <c r="AK137" i="7"/>
  <c r="AK138" i="7"/>
  <c r="AK139" i="7"/>
  <c r="AK140" i="7"/>
  <c r="AK141" i="7"/>
  <c r="AK143" i="7"/>
  <c r="AK145" i="7"/>
  <c r="AK146" i="7"/>
  <c r="AK147" i="7"/>
  <c r="AQ2" i="7"/>
  <c r="AP2" i="7"/>
  <c r="AO2" i="7"/>
  <c r="AN2" i="7"/>
  <c r="AM2" i="7"/>
  <c r="AL2" i="7"/>
  <c r="AK2" i="7"/>
  <c r="AA3" i="7"/>
  <c r="AD7" i="7"/>
  <c r="AE8" i="7"/>
  <c r="AA11" i="7"/>
  <c r="AD15" i="7"/>
  <c r="AF17" i="7"/>
  <c r="Z19" i="7"/>
  <c r="AB20" i="7"/>
  <c r="AD23" i="7"/>
  <c r="AF24" i="7"/>
  <c r="AA27" i="7"/>
  <c r="AB28" i="7"/>
  <c r="AE31" i="7"/>
  <c r="Z43" i="7"/>
  <c r="AB44" i="7"/>
  <c r="AD47" i="7"/>
  <c r="AA51" i="7"/>
  <c r="AB52" i="7"/>
  <c r="AF57" i="7"/>
  <c r="AE63" i="7"/>
  <c r="AE64" i="7"/>
  <c r="AA67" i="7"/>
  <c r="AD71" i="7"/>
  <c r="AD79" i="7"/>
  <c r="Z83" i="7"/>
  <c r="AD87" i="7"/>
  <c r="Z88" i="7"/>
  <c r="AB92" i="7"/>
  <c r="AE95" i="7"/>
  <c r="AD103" i="7"/>
  <c r="AE104" i="7"/>
  <c r="AA107" i="7"/>
  <c r="AD111" i="7"/>
  <c r="Z115" i="7"/>
  <c r="AD119" i="7"/>
  <c r="AF121" i="7"/>
  <c r="AE127" i="7"/>
  <c r="AA131" i="7"/>
  <c r="AD135" i="7"/>
  <c r="AD143" i="7"/>
  <c r="AA147" i="7"/>
  <c r="AF2" i="7"/>
  <c r="P3" i="7"/>
  <c r="P7" i="7"/>
  <c r="P11" i="7"/>
  <c r="P13" i="7"/>
  <c r="P15" i="7"/>
  <c r="P19" i="7"/>
  <c r="R21" i="7"/>
  <c r="P27" i="7"/>
  <c r="P35" i="7"/>
  <c r="P37" i="7"/>
  <c r="P43" i="7"/>
  <c r="R45" i="7"/>
  <c r="P51" i="7"/>
  <c r="Q53" i="7"/>
  <c r="P59" i="7"/>
  <c r="R61" i="7"/>
  <c r="P67" i="7"/>
  <c r="P69" i="7"/>
  <c r="P71" i="7"/>
  <c r="P75" i="7"/>
  <c r="R77" i="7"/>
  <c r="P79" i="7"/>
  <c r="P83" i="7"/>
  <c r="P85" i="7"/>
  <c r="P87" i="7"/>
  <c r="P91" i="7"/>
  <c r="P95" i="7"/>
  <c r="P98" i="7"/>
  <c r="P99" i="7"/>
  <c r="P100" i="7"/>
  <c r="P101" i="7"/>
  <c r="P103" i="7"/>
  <c r="P106" i="7"/>
  <c r="P107" i="7"/>
  <c r="Q109" i="7"/>
  <c r="P115" i="7"/>
  <c r="P117" i="7"/>
  <c r="O123" i="7"/>
  <c r="R125" i="7"/>
  <c r="P127" i="7"/>
  <c r="P131" i="7"/>
  <c r="Q133" i="7"/>
  <c r="P138" i="7"/>
  <c r="P139" i="7"/>
  <c r="P141" i="7"/>
  <c r="P147" i="7"/>
  <c r="D3" i="7"/>
  <c r="D5" i="7"/>
  <c r="J8" i="7"/>
  <c r="J9" i="7"/>
  <c r="F11" i="7"/>
  <c r="D13" i="7"/>
  <c r="I16" i="7"/>
  <c r="E17" i="7"/>
  <c r="D19" i="7"/>
  <c r="H21" i="7"/>
  <c r="J24" i="7"/>
  <c r="J25" i="7"/>
  <c r="F27" i="7"/>
  <c r="D29" i="7"/>
  <c r="J32" i="7"/>
  <c r="J33" i="7"/>
  <c r="D35" i="7"/>
  <c r="D36" i="7"/>
  <c r="D37" i="7"/>
  <c r="J40" i="7"/>
  <c r="J41" i="7"/>
  <c r="F43" i="7"/>
  <c r="D45" i="7"/>
  <c r="I48" i="7"/>
  <c r="D49" i="7"/>
  <c r="D51" i="7"/>
  <c r="H53" i="7"/>
  <c r="J56" i="7"/>
  <c r="F59" i="7"/>
  <c r="D61" i="7"/>
  <c r="D63" i="7"/>
  <c r="J64" i="7"/>
  <c r="J65" i="7"/>
  <c r="D67" i="7"/>
  <c r="D69" i="7"/>
  <c r="J72" i="7"/>
  <c r="J73" i="7"/>
  <c r="F75" i="7"/>
  <c r="D77" i="7"/>
  <c r="J80" i="7"/>
  <c r="J81" i="7"/>
  <c r="D83" i="7"/>
  <c r="H85" i="7"/>
  <c r="D87" i="7"/>
  <c r="J88" i="7"/>
  <c r="J89" i="7"/>
  <c r="F91" i="7"/>
  <c r="D93" i="7"/>
  <c r="J96" i="7"/>
  <c r="F97" i="7"/>
  <c r="D99" i="7"/>
  <c r="D100" i="7"/>
  <c r="D101" i="7"/>
  <c r="J104" i="7"/>
  <c r="F105" i="7"/>
  <c r="D107" i="7"/>
  <c r="D109" i="7"/>
  <c r="I111" i="7"/>
  <c r="J112" i="7"/>
  <c r="J113" i="7"/>
  <c r="D115" i="7"/>
  <c r="H117" i="7"/>
  <c r="H120" i="7"/>
  <c r="D121" i="7"/>
  <c r="D123" i="7"/>
  <c r="D125" i="7"/>
  <c r="J128" i="7"/>
  <c r="F129" i="7"/>
  <c r="D131" i="7"/>
  <c r="D132" i="7"/>
  <c r="H133" i="7"/>
  <c r="H135" i="7"/>
  <c r="H136" i="7"/>
  <c r="J137" i="7"/>
  <c r="D139" i="7"/>
  <c r="D141" i="7"/>
  <c r="J144" i="7"/>
  <c r="J145" i="7"/>
  <c r="D147" i="7"/>
  <c r="A141" i="4"/>
  <c r="B141" i="4" s="1"/>
  <c r="A142" i="4"/>
  <c r="B142" i="4" s="1"/>
  <c r="A143" i="4"/>
  <c r="B143" i="4" s="1"/>
  <c r="A144" i="4"/>
  <c r="B144" i="4" s="1"/>
  <c r="A145" i="4"/>
  <c r="B145" i="4" s="1"/>
  <c r="A146" i="4"/>
  <c r="B146" i="4" s="1"/>
  <c r="A147" i="4"/>
  <c r="B147" i="4" s="1"/>
  <c r="A3" i="4"/>
  <c r="B3" i="4" s="1"/>
  <c r="A4" i="4"/>
  <c r="B4" i="4" s="1"/>
  <c r="A5" i="4"/>
  <c r="B5" i="4" s="1"/>
  <c r="A6" i="4"/>
  <c r="B6" i="4" s="1"/>
  <c r="A7" i="4"/>
  <c r="B7" i="4" s="1"/>
  <c r="A8" i="4"/>
  <c r="B8" i="4" s="1"/>
  <c r="A9" i="4"/>
  <c r="B9" i="4" s="1"/>
  <c r="A10" i="4"/>
  <c r="B10" i="4" s="1"/>
  <c r="A11" i="4"/>
  <c r="B11" i="4" s="1"/>
  <c r="A12" i="4"/>
  <c r="B12" i="4" s="1"/>
  <c r="A13" i="4"/>
  <c r="B13" i="4" s="1"/>
  <c r="A14" i="4"/>
  <c r="B14" i="4" s="1"/>
  <c r="A15" i="4"/>
  <c r="B15" i="4" s="1"/>
  <c r="A16" i="4"/>
  <c r="B16" i="4" s="1"/>
  <c r="A17" i="4"/>
  <c r="B17" i="4" s="1"/>
  <c r="A18" i="4"/>
  <c r="B18" i="4" s="1"/>
  <c r="A19" i="4"/>
  <c r="B19" i="4" s="1"/>
  <c r="A20" i="4"/>
  <c r="B20" i="4" s="1"/>
  <c r="A21" i="4"/>
  <c r="B21" i="4" s="1"/>
  <c r="A22" i="4"/>
  <c r="B22" i="4" s="1"/>
  <c r="A23" i="4"/>
  <c r="B23" i="4" s="1"/>
  <c r="A24" i="4"/>
  <c r="B24" i="4" s="1"/>
  <c r="A25" i="4"/>
  <c r="B25" i="4" s="1"/>
  <c r="A26" i="4"/>
  <c r="B26" i="4" s="1"/>
  <c r="A27" i="4"/>
  <c r="B27" i="4" s="1"/>
  <c r="A28" i="4"/>
  <c r="B28" i="4" s="1"/>
  <c r="A29" i="4"/>
  <c r="B29" i="4" s="1"/>
  <c r="A30" i="4"/>
  <c r="B30" i="4" s="1"/>
  <c r="A31" i="4"/>
  <c r="B31" i="4" s="1"/>
  <c r="A32" i="4"/>
  <c r="B32" i="4" s="1"/>
  <c r="A33" i="4"/>
  <c r="B33" i="4" s="1"/>
  <c r="A34" i="4"/>
  <c r="B34" i="4" s="1"/>
  <c r="A35" i="4"/>
  <c r="B35" i="4" s="1"/>
  <c r="A36" i="4"/>
  <c r="B36" i="4" s="1"/>
  <c r="A37" i="4"/>
  <c r="B37" i="4" s="1"/>
  <c r="A38" i="4"/>
  <c r="B38" i="4" s="1"/>
  <c r="A39" i="4"/>
  <c r="B39" i="4" s="1"/>
  <c r="A40" i="4"/>
  <c r="B40" i="4" s="1"/>
  <c r="A41" i="4"/>
  <c r="B41" i="4" s="1"/>
  <c r="A42" i="4"/>
  <c r="B42" i="4" s="1"/>
  <c r="A43" i="4"/>
  <c r="B43" i="4" s="1"/>
  <c r="A44" i="4"/>
  <c r="B44" i="4" s="1"/>
  <c r="A45" i="4"/>
  <c r="B45" i="4" s="1"/>
  <c r="A46" i="4"/>
  <c r="B46" i="4" s="1"/>
  <c r="A47" i="4"/>
  <c r="B47" i="4" s="1"/>
  <c r="A48" i="4"/>
  <c r="B48" i="4" s="1"/>
  <c r="A49" i="4"/>
  <c r="B49" i="4" s="1"/>
  <c r="A50" i="4"/>
  <c r="B50" i="4" s="1"/>
  <c r="A51" i="4"/>
  <c r="B51" i="4" s="1"/>
  <c r="A52" i="4"/>
  <c r="B52" i="4" s="1"/>
  <c r="A53" i="4"/>
  <c r="B53" i="4" s="1"/>
  <c r="A54" i="4"/>
  <c r="B54" i="4" s="1"/>
  <c r="A55" i="4"/>
  <c r="B55" i="4" s="1"/>
  <c r="A56" i="4"/>
  <c r="B56" i="4" s="1"/>
  <c r="A57" i="4"/>
  <c r="B57" i="4" s="1"/>
  <c r="A58" i="4"/>
  <c r="B58" i="4" s="1"/>
  <c r="A59" i="4"/>
  <c r="B59" i="4" s="1"/>
  <c r="A60" i="4"/>
  <c r="B60" i="4" s="1"/>
  <c r="A61" i="4"/>
  <c r="B61" i="4" s="1"/>
  <c r="A62" i="4"/>
  <c r="B62" i="4" s="1"/>
  <c r="A63" i="4"/>
  <c r="B63" i="4" s="1"/>
  <c r="A64" i="4"/>
  <c r="B64" i="4" s="1"/>
  <c r="A65" i="4"/>
  <c r="B65" i="4" s="1"/>
  <c r="A66" i="4"/>
  <c r="B66" i="4" s="1"/>
  <c r="A67" i="4"/>
  <c r="B67" i="4" s="1"/>
  <c r="A68" i="4"/>
  <c r="B68" i="4" s="1"/>
  <c r="A69" i="4"/>
  <c r="B69" i="4" s="1"/>
  <c r="A70" i="4"/>
  <c r="B70" i="4" s="1"/>
  <c r="A71" i="4"/>
  <c r="B71" i="4" s="1"/>
  <c r="A72" i="4"/>
  <c r="B72" i="4" s="1"/>
  <c r="A73" i="4"/>
  <c r="B73" i="4" s="1"/>
  <c r="A74" i="4"/>
  <c r="B74" i="4" s="1"/>
  <c r="A75" i="4"/>
  <c r="B75" i="4" s="1"/>
  <c r="A76" i="4"/>
  <c r="B76" i="4" s="1"/>
  <c r="A77" i="4"/>
  <c r="B77" i="4" s="1"/>
  <c r="A78" i="4"/>
  <c r="B78" i="4" s="1"/>
  <c r="A79" i="4"/>
  <c r="B79" i="4" s="1"/>
  <c r="A80" i="4"/>
  <c r="B80" i="4" s="1"/>
  <c r="A81" i="4"/>
  <c r="B81" i="4" s="1"/>
  <c r="A82" i="4"/>
  <c r="B82" i="4" s="1"/>
  <c r="A83" i="4"/>
  <c r="B83" i="4" s="1"/>
  <c r="A84" i="4"/>
  <c r="B84" i="4" s="1"/>
  <c r="A85" i="4"/>
  <c r="B85" i="4" s="1"/>
  <c r="A86" i="4"/>
  <c r="B86" i="4" s="1"/>
  <c r="A87" i="4"/>
  <c r="B87" i="4" s="1"/>
  <c r="A88" i="4"/>
  <c r="B88" i="4" s="1"/>
  <c r="A89" i="4"/>
  <c r="B89" i="4" s="1"/>
  <c r="A90" i="4"/>
  <c r="B90" i="4" s="1"/>
  <c r="A91" i="4"/>
  <c r="B91" i="4" s="1"/>
  <c r="A92" i="4"/>
  <c r="B92" i="4" s="1"/>
  <c r="A93" i="4"/>
  <c r="B93" i="4" s="1"/>
  <c r="A94" i="4"/>
  <c r="B94" i="4" s="1"/>
  <c r="A95" i="4"/>
  <c r="B95" i="4" s="1"/>
  <c r="A96" i="4"/>
  <c r="B96" i="4" s="1"/>
  <c r="A97" i="4"/>
  <c r="B97" i="4" s="1"/>
  <c r="A98" i="4"/>
  <c r="B98" i="4" s="1"/>
  <c r="A99" i="4"/>
  <c r="B99" i="4" s="1"/>
  <c r="A100" i="4"/>
  <c r="B100" i="4" s="1"/>
  <c r="A101" i="4"/>
  <c r="B101" i="4" s="1"/>
  <c r="A102" i="4"/>
  <c r="B102" i="4" s="1"/>
  <c r="A103" i="4"/>
  <c r="B103" i="4" s="1"/>
  <c r="A104" i="4"/>
  <c r="B104" i="4" s="1"/>
  <c r="A105" i="4"/>
  <c r="B105" i="4" s="1"/>
  <c r="A106" i="4"/>
  <c r="B106" i="4" s="1"/>
  <c r="A107" i="4"/>
  <c r="B107" i="4" s="1"/>
  <c r="A108" i="4"/>
  <c r="B108" i="4" s="1"/>
  <c r="A109" i="4"/>
  <c r="B109" i="4" s="1"/>
  <c r="A110" i="4"/>
  <c r="B110" i="4" s="1"/>
  <c r="A111" i="4"/>
  <c r="B111" i="4" s="1"/>
  <c r="A112" i="4"/>
  <c r="B112" i="4" s="1"/>
  <c r="A113" i="4"/>
  <c r="B113" i="4" s="1"/>
  <c r="A114" i="4"/>
  <c r="B114" i="4" s="1"/>
  <c r="A115" i="4"/>
  <c r="B115" i="4" s="1"/>
  <c r="A116" i="4"/>
  <c r="B116" i="4" s="1"/>
  <c r="A117" i="4"/>
  <c r="B117" i="4" s="1"/>
  <c r="A118" i="4"/>
  <c r="B118" i="4" s="1"/>
  <c r="A119" i="4"/>
  <c r="B119" i="4" s="1"/>
  <c r="A120" i="4"/>
  <c r="B120" i="4" s="1"/>
  <c r="A121" i="4"/>
  <c r="B121" i="4" s="1"/>
  <c r="A122" i="4"/>
  <c r="B122" i="4" s="1"/>
  <c r="A123" i="4"/>
  <c r="B123" i="4" s="1"/>
  <c r="A124" i="4"/>
  <c r="B124" i="4" s="1"/>
  <c r="A125" i="4"/>
  <c r="B125" i="4" s="1"/>
  <c r="A126" i="4"/>
  <c r="B126" i="4" s="1"/>
  <c r="A127" i="4"/>
  <c r="B127" i="4" s="1"/>
  <c r="A128" i="4"/>
  <c r="B128" i="4" s="1"/>
  <c r="A129" i="4"/>
  <c r="B129" i="4" s="1"/>
  <c r="A130" i="4"/>
  <c r="B130" i="4" s="1"/>
  <c r="A131" i="4"/>
  <c r="B131" i="4" s="1"/>
  <c r="A132" i="4"/>
  <c r="B132" i="4" s="1"/>
  <c r="A133" i="4"/>
  <c r="B133" i="4" s="1"/>
  <c r="A134" i="4"/>
  <c r="B134" i="4" s="1"/>
  <c r="A135" i="4"/>
  <c r="B135" i="4" s="1"/>
  <c r="A136" i="4"/>
  <c r="B136" i="4" s="1"/>
  <c r="A137" i="4"/>
  <c r="B137" i="4" s="1"/>
  <c r="A138" i="4"/>
  <c r="B138" i="4" s="1"/>
  <c r="A139" i="4"/>
  <c r="B139" i="4" s="1"/>
  <c r="A140" i="4"/>
  <c r="B140" i="4" s="1"/>
  <c r="AN4" i="1"/>
  <c r="AN3" i="1"/>
  <c r="AN10" i="1"/>
  <c r="AM10" i="1"/>
  <c r="AN15" i="1"/>
  <c r="AM2" i="1"/>
  <c r="AO2" i="1" s="1"/>
  <c r="C2" i="4" s="1"/>
  <c r="D2" i="4" s="1"/>
  <c r="AW5" i="1"/>
  <c r="AN5" i="1"/>
  <c r="AM5"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W140" i="1" s="1"/>
  <c r="AL141" i="1"/>
  <c r="AL142" i="1"/>
  <c r="AL143" i="1"/>
  <c r="AL144" i="1"/>
  <c r="AL145" i="1"/>
  <c r="AL146" i="1"/>
  <c r="AL147" i="1"/>
  <c r="AL14" i="1"/>
  <c r="AL5" i="1"/>
  <c r="AL2" i="1"/>
  <c r="AL15" i="1"/>
  <c r="AL10" i="1"/>
  <c r="AL3" i="1"/>
  <c r="AL4" i="1"/>
  <c r="AL113" i="1"/>
  <c r="AL7" i="1"/>
  <c r="AL8" i="1"/>
  <c r="AL9" i="1"/>
  <c r="AL11" i="1"/>
  <c r="W11" i="1" s="1"/>
  <c r="AL12" i="1"/>
  <c r="W12" i="1" s="1"/>
  <c r="AL13" i="1"/>
  <c r="AL16" i="1"/>
  <c r="AL17" i="1"/>
  <c r="AL18" i="1"/>
  <c r="AL19" i="1"/>
  <c r="AL20" i="1"/>
  <c r="W20" i="1" s="1"/>
  <c r="AL21" i="1"/>
  <c r="W21" i="1" s="1"/>
  <c r="AL22" i="1"/>
  <c r="AL23" i="1"/>
  <c r="AL24" i="1"/>
  <c r="AL25" i="1"/>
  <c r="AL26" i="1"/>
  <c r="AL27" i="1"/>
  <c r="AL28" i="1"/>
  <c r="AL29" i="1"/>
  <c r="AL30" i="1"/>
  <c r="W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6" i="1"/>
  <c r="AL77" i="1"/>
  <c r="AL78" i="1"/>
  <c r="AL79" i="1"/>
  <c r="AL80" i="1"/>
  <c r="AL81" i="1"/>
  <c r="AL82" i="1"/>
  <c r="AL83" i="1"/>
  <c r="AL84" i="1"/>
  <c r="AL85" i="1"/>
  <c r="AL86" i="1"/>
  <c r="AL87" i="1"/>
  <c r="AL88" i="1"/>
  <c r="AL89" i="1"/>
  <c r="AL90" i="1"/>
  <c r="AL91" i="1"/>
  <c r="AL92" i="1"/>
  <c r="AL93" i="1"/>
  <c r="AL94" i="1"/>
  <c r="AL95" i="1"/>
  <c r="AL96" i="1"/>
  <c r="AL97" i="1"/>
  <c r="AL98" i="1"/>
  <c r="AL99" i="1"/>
  <c r="W99" i="1" s="1"/>
  <c r="AL100" i="1"/>
  <c r="AL101" i="1"/>
  <c r="AL102" i="1"/>
  <c r="AL103" i="1"/>
  <c r="AL104" i="1"/>
  <c r="AL105" i="1"/>
  <c r="AL106" i="1"/>
  <c r="AL107" i="1"/>
  <c r="AL108" i="1"/>
  <c r="AL109" i="1"/>
  <c r="AL110" i="1"/>
  <c r="AL111" i="1"/>
  <c r="AL112" i="1"/>
  <c r="W129" i="1"/>
  <c r="AL6" i="1"/>
  <c r="W74" i="1"/>
  <c r="W75" i="1"/>
  <c r="D2" i="6"/>
  <c r="G2" i="6" s="1"/>
  <c r="W2" i="6" s="1"/>
  <c r="A2" i="4"/>
  <c r="AG9" i="1"/>
  <c r="AF9" i="1"/>
  <c r="L5" i="1"/>
  <c r="L2" i="1"/>
  <c r="L15" i="1"/>
  <c r="L10" i="1"/>
  <c r="B10" i="6" s="1"/>
  <c r="L3" i="1"/>
  <c r="L4" i="1"/>
  <c r="M5" i="1"/>
  <c r="M2" i="1"/>
  <c r="M15" i="1"/>
  <c r="M10" i="1"/>
  <c r="M3" i="1"/>
  <c r="M4" i="1"/>
  <c r="R5" i="1"/>
  <c r="R2" i="1"/>
  <c r="R15" i="1"/>
  <c r="R10" i="1"/>
  <c r="R3" i="1"/>
  <c r="R4" i="1"/>
  <c r="S5" i="1"/>
  <c r="S2" i="1"/>
  <c r="S15" i="1"/>
  <c r="S3" i="1"/>
  <c r="S4" i="1"/>
  <c r="T5" i="1"/>
  <c r="D5" i="6" s="1"/>
  <c r="G5" i="6" s="1"/>
  <c r="W5" i="6" s="1"/>
  <c r="T4" i="1"/>
  <c r="D4" i="6" s="1"/>
  <c r="G4" i="6" s="1"/>
  <c r="W4" i="6" s="1"/>
  <c r="U2" i="1"/>
  <c r="U3" i="1"/>
  <c r="AH5" i="1"/>
  <c r="AH2" i="1"/>
  <c r="AH15" i="1"/>
  <c r="AH10" i="1"/>
  <c r="AH3" i="1"/>
  <c r="AH4" i="1"/>
  <c r="AO15" i="1"/>
  <c r="C15" i="4" s="1"/>
  <c r="F15" i="4" s="1"/>
  <c r="AO10" i="1"/>
  <c r="C10" i="4" s="1"/>
  <c r="F10" i="4" s="1"/>
  <c r="AO3" i="1"/>
  <c r="C3" i="4" s="1"/>
  <c r="F3" i="4" s="1"/>
  <c r="AO4" i="1"/>
  <c r="C4" i="4" s="1"/>
  <c r="F4" i="4" s="1"/>
  <c r="AG8" i="1"/>
  <c r="AF8" i="1"/>
  <c r="AG7" i="1"/>
  <c r="AF7" i="1"/>
  <c r="L8" i="1"/>
  <c r="L9" i="1"/>
  <c r="L14" i="1"/>
  <c r="B14" i="6" s="1"/>
  <c r="M8" i="1"/>
  <c r="M9" i="1"/>
  <c r="M14" i="1"/>
  <c r="R8" i="1"/>
  <c r="R9" i="1"/>
  <c r="R14" i="1"/>
  <c r="S8" i="1"/>
  <c r="S9" i="1"/>
  <c r="T8" i="1"/>
  <c r="D8" i="6" s="1"/>
  <c r="G8" i="6" s="1"/>
  <c r="V8" i="6" s="1"/>
  <c r="T9" i="1"/>
  <c r="D9" i="6" s="1"/>
  <c r="G9" i="6" s="1"/>
  <c r="U9" i="6" s="1"/>
  <c r="U8" i="1"/>
  <c r="U9" i="1"/>
  <c r="U14" i="1"/>
  <c r="AH14" i="1"/>
  <c r="AO8" i="1"/>
  <c r="C8" i="4" s="1"/>
  <c r="H8" i="4" s="1"/>
  <c r="AO9" i="1"/>
  <c r="C9" i="4" s="1"/>
  <c r="H9" i="4" s="1"/>
  <c r="AO14" i="1"/>
  <c r="C14" i="4" s="1"/>
  <c r="G14" i="4" s="1"/>
  <c r="T104" i="1"/>
  <c r="D104" i="6" s="1"/>
  <c r="G104" i="6" s="1"/>
  <c r="U104" i="6" s="1"/>
  <c r="L13" i="1"/>
  <c r="L73" i="1"/>
  <c r="L38" i="1"/>
  <c r="L34" i="1"/>
  <c r="L7" i="1"/>
  <c r="M13" i="1"/>
  <c r="M73" i="1"/>
  <c r="M38" i="1"/>
  <c r="M34" i="1"/>
  <c r="M7" i="1"/>
  <c r="R13" i="1"/>
  <c r="R73" i="1"/>
  <c r="R38" i="1"/>
  <c r="R34" i="1"/>
  <c r="R7" i="1"/>
  <c r="S13" i="1"/>
  <c r="S73" i="1"/>
  <c r="S38" i="1"/>
  <c r="S34" i="1"/>
  <c r="S7" i="1"/>
  <c r="T13" i="1"/>
  <c r="D13" i="6" s="1"/>
  <c r="G13" i="6" s="1"/>
  <c r="V13" i="6" s="1"/>
  <c r="T73" i="1"/>
  <c r="D73" i="6" s="1"/>
  <c r="G73" i="6" s="1"/>
  <c r="V73" i="6" s="1"/>
  <c r="T38" i="1"/>
  <c r="D38" i="6" s="1"/>
  <c r="G38" i="6" s="1"/>
  <c r="V38" i="6" s="1"/>
  <c r="T34" i="1"/>
  <c r="D34" i="6" s="1"/>
  <c r="G34" i="6" s="1"/>
  <c r="W34" i="6" s="1"/>
  <c r="T7" i="1"/>
  <c r="D7" i="6" s="1"/>
  <c r="G7" i="6" s="1"/>
  <c r="V7" i="6" s="1"/>
  <c r="U13" i="1"/>
  <c r="U73" i="1"/>
  <c r="U38" i="1"/>
  <c r="U34" i="1"/>
  <c r="U7" i="1"/>
  <c r="AH13" i="1"/>
  <c r="E13" i="6" s="1"/>
  <c r="AH73" i="1"/>
  <c r="E73" i="6" s="1"/>
  <c r="AH38" i="1"/>
  <c r="E38" i="6" s="1"/>
  <c r="AH34" i="1"/>
  <c r="AO13" i="1"/>
  <c r="C13" i="4" s="1"/>
  <c r="H13" i="4" s="1"/>
  <c r="AO73" i="1"/>
  <c r="C73" i="4" s="1"/>
  <c r="H73" i="4" s="1"/>
  <c r="AO38" i="1"/>
  <c r="C38" i="4" s="1"/>
  <c r="H38" i="4" s="1"/>
  <c r="AO34" i="1"/>
  <c r="C34" i="4" s="1"/>
  <c r="H34" i="4" s="1"/>
  <c r="AO7" i="1"/>
  <c r="C7" i="4" s="1"/>
  <c r="H7" i="4" s="1"/>
  <c r="AN92" i="1"/>
  <c r="AO92" i="1" s="1"/>
  <c r="C92" i="4" s="1"/>
  <c r="F92" i="4" s="1"/>
  <c r="AN91" i="1"/>
  <c r="L107" i="1"/>
  <c r="L104" i="1"/>
  <c r="L18" i="1"/>
  <c r="M107" i="1"/>
  <c r="M104" i="1"/>
  <c r="M18" i="1"/>
  <c r="R107" i="1"/>
  <c r="R104" i="1"/>
  <c r="R18" i="1"/>
  <c r="S107" i="1"/>
  <c r="S104" i="1"/>
  <c r="S18" i="1"/>
  <c r="T18" i="1"/>
  <c r="D18" i="6" s="1"/>
  <c r="G18" i="6" s="1"/>
  <c r="V18" i="6" s="1"/>
  <c r="U107" i="1"/>
  <c r="U104" i="1"/>
  <c r="U18" i="1"/>
  <c r="AH107" i="1"/>
  <c r="E107" i="6" s="1"/>
  <c r="AH104" i="1"/>
  <c r="AH18" i="1"/>
  <c r="AO107" i="1"/>
  <c r="C107" i="4" s="1"/>
  <c r="D107" i="4" s="1"/>
  <c r="AO104" i="1"/>
  <c r="C104" i="4" s="1"/>
  <c r="D104" i="4" s="1"/>
  <c r="AO18" i="1"/>
  <c r="C18" i="4" s="1"/>
  <c r="H18" i="4" s="1"/>
  <c r="L61" i="1"/>
  <c r="M61" i="1"/>
  <c r="R61" i="1"/>
  <c r="S61" i="1"/>
  <c r="T61" i="1"/>
  <c r="D61" i="6" s="1"/>
  <c r="G61" i="6" s="1"/>
  <c r="V61" i="6" s="1"/>
  <c r="U61" i="1"/>
  <c r="AH61" i="1"/>
  <c r="E61" i="6" s="1"/>
  <c r="AO61" i="1"/>
  <c r="C61" i="4" s="1"/>
  <c r="F61" i="4" s="1"/>
  <c r="AW71" i="1"/>
  <c r="U71" i="1" s="1"/>
  <c r="AV72" i="1"/>
  <c r="T72" i="1" s="1"/>
  <c r="D72" i="6" s="1"/>
  <c r="G72" i="6" s="1"/>
  <c r="U72" i="6" s="1"/>
  <c r="T78" i="1"/>
  <c r="D78" i="6" s="1"/>
  <c r="G78" i="6" s="1"/>
  <c r="U78" i="6" s="1"/>
  <c r="AG42" i="1"/>
  <c r="AF42" i="1"/>
  <c r="T42" i="1"/>
  <c r="D42" i="6" s="1"/>
  <c r="G42" i="6" s="1"/>
  <c r="W42" i="6" s="1"/>
  <c r="AG47" i="1"/>
  <c r="AF47" i="1"/>
  <c r="L146" i="1"/>
  <c r="L79" i="1"/>
  <c r="L76" i="1"/>
  <c r="L78" i="1"/>
  <c r="L72" i="1"/>
  <c r="L71" i="1"/>
  <c r="L70" i="1"/>
  <c r="L62" i="1"/>
  <c r="L91" i="1"/>
  <c r="L92" i="1"/>
  <c r="M146" i="1"/>
  <c r="M79" i="1"/>
  <c r="M76" i="1"/>
  <c r="M78" i="1"/>
  <c r="M72" i="1"/>
  <c r="M71" i="1"/>
  <c r="M70" i="1"/>
  <c r="M62" i="1"/>
  <c r="M91" i="1"/>
  <c r="M92" i="1"/>
  <c r="R146" i="1"/>
  <c r="R79" i="1"/>
  <c r="R76" i="1"/>
  <c r="R78" i="1"/>
  <c r="R72" i="1"/>
  <c r="R71" i="1"/>
  <c r="R70" i="1"/>
  <c r="R62" i="1"/>
  <c r="R91" i="1"/>
  <c r="R92" i="1"/>
  <c r="S146" i="1"/>
  <c r="S79" i="1"/>
  <c r="S76" i="1"/>
  <c r="S78" i="1"/>
  <c r="S72" i="1"/>
  <c r="S71" i="1"/>
  <c r="S70" i="1"/>
  <c r="S62" i="1"/>
  <c r="S91" i="1"/>
  <c r="S92" i="1"/>
  <c r="T146" i="1"/>
  <c r="D146" i="6" s="1"/>
  <c r="G146" i="6" s="1"/>
  <c r="Y146" i="6" s="1"/>
  <c r="T79" i="1"/>
  <c r="D79" i="6" s="1"/>
  <c r="G79" i="6" s="1"/>
  <c r="U79" i="6" s="1"/>
  <c r="T76" i="1"/>
  <c r="D76" i="6" s="1"/>
  <c r="G76" i="6" s="1"/>
  <c r="U76" i="6" s="1"/>
  <c r="T71" i="1"/>
  <c r="D71" i="6" s="1"/>
  <c r="G71" i="6" s="1"/>
  <c r="U71" i="6" s="1"/>
  <c r="T70" i="1"/>
  <c r="D70" i="6" s="1"/>
  <c r="G70" i="6" s="1"/>
  <c r="W70" i="6" s="1"/>
  <c r="T62" i="1"/>
  <c r="D62" i="6" s="1"/>
  <c r="G62" i="6" s="1"/>
  <c r="V62" i="6" s="1"/>
  <c r="T91" i="1"/>
  <c r="D91" i="6" s="1"/>
  <c r="G91" i="6" s="1"/>
  <c r="V91" i="6" s="1"/>
  <c r="T92" i="1"/>
  <c r="D92" i="6" s="1"/>
  <c r="G92" i="6" s="1"/>
  <c r="V92" i="6" s="1"/>
  <c r="U146" i="1"/>
  <c r="U78" i="1"/>
  <c r="U72" i="1"/>
  <c r="U70" i="1"/>
  <c r="U62" i="1"/>
  <c r="U91" i="1"/>
  <c r="U92" i="1"/>
  <c r="AH146" i="1"/>
  <c r="E146" i="6" s="1"/>
  <c r="AH79" i="1"/>
  <c r="E79" i="6" s="1"/>
  <c r="AH76" i="1"/>
  <c r="E76" i="6" s="1"/>
  <c r="AH78" i="1"/>
  <c r="E78" i="6" s="1"/>
  <c r="AH72" i="1"/>
  <c r="E72" i="6" s="1"/>
  <c r="AH71" i="1"/>
  <c r="AH70" i="1"/>
  <c r="E70" i="6" s="1"/>
  <c r="AH62" i="1"/>
  <c r="E62" i="6" s="1"/>
  <c r="AH91" i="1"/>
  <c r="E91" i="6" s="1"/>
  <c r="AH92" i="1"/>
  <c r="E92" i="6" s="1"/>
  <c r="AO146" i="1"/>
  <c r="C146" i="4" s="1"/>
  <c r="F146" i="4" s="1"/>
  <c r="AO79" i="1"/>
  <c r="C79" i="4" s="1"/>
  <c r="E79" i="4" s="1"/>
  <c r="AO76" i="1"/>
  <c r="C76" i="4" s="1"/>
  <c r="E76" i="4" s="1"/>
  <c r="AO78" i="1"/>
  <c r="C78" i="4" s="1"/>
  <c r="D78" i="4" s="1"/>
  <c r="AO72" i="1"/>
  <c r="C72" i="4" s="1"/>
  <c r="D72" i="4" s="1"/>
  <c r="AO71" i="1"/>
  <c r="C71" i="4" s="1"/>
  <c r="E71" i="4" s="1"/>
  <c r="AO70" i="1"/>
  <c r="C70" i="4" s="1"/>
  <c r="D70" i="4" s="1"/>
  <c r="AO62" i="1"/>
  <c r="C62" i="4" s="1"/>
  <c r="F62" i="4" s="1"/>
  <c r="AO91" i="1"/>
  <c r="C91" i="4" s="1"/>
  <c r="F91" i="4" s="1"/>
  <c r="T106" i="1"/>
  <c r="D106" i="6" s="1"/>
  <c r="G106" i="6" s="1"/>
  <c r="V106" i="6" s="1"/>
  <c r="T105" i="1"/>
  <c r="D105" i="6" s="1"/>
  <c r="G105" i="6" s="1"/>
  <c r="V105" i="6" s="1"/>
  <c r="S106" i="1"/>
  <c r="S105" i="1"/>
  <c r="L106" i="1"/>
  <c r="M106" i="1"/>
  <c r="R106" i="1"/>
  <c r="U106" i="1"/>
  <c r="AH106" i="1"/>
  <c r="E106" i="6" s="1"/>
  <c r="AO106" i="1"/>
  <c r="C106" i="4" s="1"/>
  <c r="F106" i="4" s="1"/>
  <c r="AM110" i="7" l="1"/>
  <c r="AM70" i="7"/>
  <c r="AQ22" i="7"/>
  <c r="AV117" i="7"/>
  <c r="AV69" i="7"/>
  <c r="AV45" i="7"/>
  <c r="AV21" i="7"/>
  <c r="AW141" i="7"/>
  <c r="AW117" i="7"/>
  <c r="AW69" i="7"/>
  <c r="AW21" i="7"/>
  <c r="AX77" i="7"/>
  <c r="AX13" i="7"/>
  <c r="AY133" i="7"/>
  <c r="AY109" i="7"/>
  <c r="AY21" i="7"/>
  <c r="AZ141" i="7"/>
  <c r="AZ117" i="7"/>
  <c r="AZ29" i="7"/>
  <c r="BA125" i="7"/>
  <c r="BA37" i="7"/>
  <c r="BB29" i="7"/>
  <c r="BB5" i="7"/>
  <c r="AK78" i="7"/>
  <c r="AL14" i="7"/>
  <c r="AN134" i="7"/>
  <c r="AP38" i="7"/>
  <c r="AQ46" i="7"/>
  <c r="AV101" i="7"/>
  <c r="AV29" i="7"/>
  <c r="AV5" i="7"/>
  <c r="AW53" i="7"/>
  <c r="AX61" i="7"/>
  <c r="AX37" i="7"/>
  <c r="AY117" i="7"/>
  <c r="AY93" i="7"/>
  <c r="AY5" i="7"/>
  <c r="AZ125" i="7"/>
  <c r="AZ101" i="7"/>
  <c r="AZ13" i="7"/>
  <c r="BA133" i="7"/>
  <c r="BA109" i="7"/>
  <c r="BA21" i="7"/>
  <c r="BB141" i="7"/>
  <c r="BB13" i="7"/>
  <c r="AK30" i="7"/>
  <c r="AM118" i="7"/>
  <c r="AN62" i="7"/>
  <c r="AP134" i="7"/>
  <c r="AV125" i="7"/>
  <c r="AV77" i="7"/>
  <c r="AV53" i="7"/>
  <c r="AW125" i="7"/>
  <c r="AW101" i="7"/>
  <c r="AW77" i="7"/>
  <c r="AW29" i="7"/>
  <c r="AX109" i="7"/>
  <c r="AX85" i="7"/>
  <c r="AX21" i="7"/>
  <c r="AY141" i="7"/>
  <c r="AY53" i="7"/>
  <c r="AY29" i="7"/>
  <c r="AZ61" i="7"/>
  <c r="AZ37" i="7"/>
  <c r="BA69" i="7"/>
  <c r="BA45" i="7"/>
  <c r="BB101" i="7"/>
  <c r="BB37" i="7"/>
  <c r="AL78" i="7"/>
  <c r="AN142" i="7"/>
  <c r="AO70" i="7"/>
  <c r="AP62" i="7"/>
  <c r="AQ110" i="7"/>
  <c r="AW37" i="7"/>
  <c r="AW13" i="7"/>
  <c r="AX133" i="7"/>
  <c r="AX45" i="7"/>
  <c r="AY77" i="7"/>
  <c r="AZ85" i="7"/>
  <c r="BA93" i="7"/>
  <c r="BA5" i="7"/>
  <c r="BB125" i="7"/>
  <c r="BB85" i="7"/>
  <c r="BB61" i="7"/>
  <c r="AM46" i="7"/>
  <c r="AM6" i="7"/>
  <c r="AP6" i="7"/>
  <c r="AV109" i="7"/>
  <c r="AV37" i="7"/>
  <c r="AV13" i="7"/>
  <c r="AW133" i="7"/>
  <c r="AW109" i="7"/>
  <c r="AW61" i="7"/>
  <c r="AX69" i="7"/>
  <c r="AX5" i="7"/>
  <c r="AY101" i="7"/>
  <c r="AY13" i="7"/>
  <c r="AZ133" i="7"/>
  <c r="AZ109" i="7"/>
  <c r="AZ21" i="7"/>
  <c r="BA141" i="7"/>
  <c r="BA117" i="7"/>
  <c r="BA29" i="7"/>
  <c r="AK142" i="7"/>
  <c r="AK14" i="7"/>
  <c r="AN70" i="7"/>
  <c r="AO94" i="7"/>
  <c r="AP142" i="7"/>
  <c r="AV133" i="7"/>
  <c r="AV85" i="7"/>
  <c r="AV61" i="7"/>
  <c r="AW85" i="7"/>
  <c r="AX93" i="7"/>
  <c r="AZ69" i="7"/>
  <c r="AZ45" i="7"/>
  <c r="BA53" i="7"/>
  <c r="BB45" i="7"/>
  <c r="AK94" i="7"/>
  <c r="AL86" i="7"/>
  <c r="AL6" i="7"/>
  <c r="AP30" i="7"/>
  <c r="AQ134" i="7"/>
  <c r="AV93" i="7"/>
  <c r="AZ93" i="7"/>
  <c r="AK111" i="7"/>
  <c r="AK71" i="7"/>
  <c r="AK39" i="7"/>
  <c r="AL143" i="7"/>
  <c r="AL119" i="7"/>
  <c r="AL95" i="7"/>
  <c r="AM103" i="7"/>
  <c r="AM55" i="7"/>
  <c r="AN111" i="7"/>
  <c r="AN63" i="7"/>
  <c r="AO31" i="7"/>
  <c r="AP79" i="7"/>
  <c r="AQ143" i="7"/>
  <c r="AQ63" i="7"/>
  <c r="AZ118" i="7"/>
  <c r="BA54" i="7"/>
  <c r="BB126" i="7"/>
  <c r="AK79" i="7"/>
  <c r="AL71" i="7"/>
  <c r="AL47" i="7"/>
  <c r="AL23" i="7"/>
  <c r="AM135" i="7"/>
  <c r="AM111" i="7"/>
  <c r="AM31" i="7"/>
  <c r="AM7" i="7"/>
  <c r="AN143" i="7"/>
  <c r="AN39" i="7"/>
  <c r="AN15" i="7"/>
  <c r="AO135" i="7"/>
  <c r="AO111" i="7"/>
  <c r="AO55" i="7"/>
  <c r="AP103" i="7"/>
  <c r="AP55" i="7"/>
  <c r="AP31" i="7"/>
  <c r="AP7" i="7"/>
  <c r="AQ87" i="7"/>
  <c r="AW134" i="7"/>
  <c r="AY6" i="7"/>
  <c r="AK119" i="7"/>
  <c r="AK47" i="7"/>
  <c r="AK7" i="7"/>
  <c r="AL103" i="7"/>
  <c r="AM87" i="7"/>
  <c r="AN119" i="7"/>
  <c r="AN95" i="7"/>
  <c r="AN71" i="7"/>
  <c r="AO87" i="7"/>
  <c r="AO63" i="7"/>
  <c r="AO15" i="7"/>
  <c r="AP127" i="7"/>
  <c r="AQ127" i="7"/>
  <c r="AQ31" i="7"/>
  <c r="AK87" i="7"/>
  <c r="AK15" i="7"/>
  <c r="AL127" i="7"/>
  <c r="AL79" i="7"/>
  <c r="AM143" i="7"/>
  <c r="AM119" i="7"/>
  <c r="AM63" i="7"/>
  <c r="AM15" i="7"/>
  <c r="AN23" i="7"/>
  <c r="AO39" i="7"/>
  <c r="AP135" i="7"/>
  <c r="AP87" i="7"/>
  <c r="AP39" i="7"/>
  <c r="AQ7" i="7"/>
  <c r="AX134" i="7"/>
  <c r="AX110" i="7"/>
  <c r="AX38" i="7"/>
  <c r="AY38" i="7"/>
  <c r="AY14" i="7"/>
  <c r="AK127" i="7"/>
  <c r="AK95" i="7"/>
  <c r="AK55" i="7"/>
  <c r="AL55" i="7"/>
  <c r="AM39" i="7"/>
  <c r="AN47" i="7"/>
  <c r="AO143" i="7"/>
  <c r="AO95" i="7"/>
  <c r="AO71" i="7"/>
  <c r="AP111" i="7"/>
  <c r="AP15" i="7"/>
  <c r="AQ111" i="7"/>
  <c r="AQ95" i="7"/>
  <c r="AQ71" i="7"/>
  <c r="BB94" i="7"/>
  <c r="AK23" i="7"/>
  <c r="AL135" i="7"/>
  <c r="AM71" i="7"/>
  <c r="AV54" i="7"/>
  <c r="AV30" i="7"/>
  <c r="AW22" i="7"/>
  <c r="AX142" i="7"/>
  <c r="AY142" i="7"/>
  <c r="AY118" i="7"/>
  <c r="AY46" i="7"/>
  <c r="AZ86" i="7"/>
  <c r="BA22" i="7"/>
  <c r="B106" i="6"/>
  <c r="A106" i="6"/>
  <c r="F106" i="6" s="1"/>
  <c r="M106" i="6" s="1"/>
  <c r="AI71" i="1"/>
  <c r="I71" i="4" s="1"/>
  <c r="K71" i="4" s="1"/>
  <c r="E71" i="6"/>
  <c r="B70" i="6"/>
  <c r="A70" i="6"/>
  <c r="F70" i="6" s="1"/>
  <c r="N70" i="6" s="1"/>
  <c r="AI18" i="1"/>
  <c r="I18" i="4" s="1"/>
  <c r="N18" i="4" s="1"/>
  <c r="E18" i="6"/>
  <c r="B104" i="6"/>
  <c r="A104" i="6"/>
  <c r="F104" i="6" s="1"/>
  <c r="L104" i="6" s="1"/>
  <c r="B7" i="6"/>
  <c r="A7" i="6"/>
  <c r="F7" i="6" s="1"/>
  <c r="M7" i="6" s="1"/>
  <c r="AI14" i="1"/>
  <c r="I14" i="4" s="1"/>
  <c r="M14" i="4" s="1"/>
  <c r="E14" i="6"/>
  <c r="B8" i="6"/>
  <c r="A8" i="6"/>
  <c r="F8" i="6" s="1"/>
  <c r="M8" i="6" s="1"/>
  <c r="B34" i="6"/>
  <c r="A34" i="6"/>
  <c r="F34" i="6" s="1"/>
  <c r="N34" i="6" s="1"/>
  <c r="AI4" i="1"/>
  <c r="I4" i="4" s="1"/>
  <c r="L4" i="4" s="1"/>
  <c r="E4" i="6"/>
  <c r="B71" i="6"/>
  <c r="A71" i="6"/>
  <c r="F71" i="6" s="1"/>
  <c r="L71" i="6" s="1"/>
  <c r="B61" i="6"/>
  <c r="A61" i="6"/>
  <c r="F61" i="6" s="1"/>
  <c r="M61" i="6" s="1"/>
  <c r="AI104" i="1"/>
  <c r="I104" i="4" s="1"/>
  <c r="J104" i="4" s="1"/>
  <c r="E104" i="6"/>
  <c r="B107" i="6"/>
  <c r="A107" i="6"/>
  <c r="F107" i="6" s="1"/>
  <c r="M107" i="6" s="1"/>
  <c r="B72" i="6"/>
  <c r="A72" i="6"/>
  <c r="F72" i="6" s="1"/>
  <c r="L72" i="6" s="1"/>
  <c r="AI34" i="1"/>
  <c r="I34" i="4" s="1"/>
  <c r="N34" i="4" s="1"/>
  <c r="E34" i="6"/>
  <c r="B38" i="6"/>
  <c r="A38" i="6"/>
  <c r="F38" i="6" s="1"/>
  <c r="M38" i="6" s="1"/>
  <c r="AI3" i="1"/>
  <c r="I3" i="4" s="1"/>
  <c r="L3" i="4" s="1"/>
  <c r="E3" i="6"/>
  <c r="B73" i="6"/>
  <c r="A73" i="6"/>
  <c r="F73" i="6" s="1"/>
  <c r="M73" i="6" s="1"/>
  <c r="AI10" i="1"/>
  <c r="I10" i="4" s="1"/>
  <c r="L10" i="4" s="1"/>
  <c r="E10" i="6"/>
  <c r="B4" i="6"/>
  <c r="A4" i="6"/>
  <c r="F4" i="6" s="1"/>
  <c r="N4" i="6" s="1"/>
  <c r="A105" i="6"/>
  <c r="F105" i="6" s="1"/>
  <c r="M105" i="6" s="1"/>
  <c r="B76" i="6"/>
  <c r="A76" i="6"/>
  <c r="F76" i="6" s="1"/>
  <c r="L76" i="6" s="1"/>
  <c r="B13" i="6"/>
  <c r="A13" i="6"/>
  <c r="F13" i="6" s="1"/>
  <c r="M13" i="6" s="1"/>
  <c r="AI15" i="1"/>
  <c r="I15" i="4" s="1"/>
  <c r="L15" i="4" s="1"/>
  <c r="E15" i="6"/>
  <c r="B3" i="6"/>
  <c r="A3" i="6"/>
  <c r="F3" i="6" s="1"/>
  <c r="N3" i="6" s="1"/>
  <c r="A5" i="6"/>
  <c r="F5" i="6" s="1"/>
  <c r="N5" i="6" s="1"/>
  <c r="B5" i="6"/>
  <c r="B92" i="6"/>
  <c r="A92" i="6"/>
  <c r="F92" i="6" s="1"/>
  <c r="M92" i="6" s="1"/>
  <c r="B79" i="6"/>
  <c r="A79" i="6"/>
  <c r="F79" i="6" s="1"/>
  <c r="L79" i="6" s="1"/>
  <c r="AI2" i="1"/>
  <c r="I2" i="4" s="1"/>
  <c r="J2" i="4" s="1"/>
  <c r="E2" i="6"/>
  <c r="B15" i="6"/>
  <c r="A15" i="6"/>
  <c r="F15" i="6" s="1"/>
  <c r="N15" i="6" s="1"/>
  <c r="B62" i="6"/>
  <c r="A62" i="6"/>
  <c r="F62" i="6" s="1"/>
  <c r="M62" i="6" s="1"/>
  <c r="B18" i="6"/>
  <c r="A18" i="6"/>
  <c r="F18" i="6" s="1"/>
  <c r="M18" i="6" s="1"/>
  <c r="B78" i="6"/>
  <c r="A78" i="6"/>
  <c r="F78" i="6" s="1"/>
  <c r="L78" i="6" s="1"/>
  <c r="B91" i="6"/>
  <c r="A91" i="6"/>
  <c r="F91" i="6" s="1"/>
  <c r="M91" i="6" s="1"/>
  <c r="B146" i="6"/>
  <c r="A146" i="6"/>
  <c r="F146" i="6" s="1"/>
  <c r="P146" i="6" s="1"/>
  <c r="B9" i="6"/>
  <c r="A9" i="6"/>
  <c r="F9" i="6" s="1"/>
  <c r="L9" i="6" s="1"/>
  <c r="AI5" i="1"/>
  <c r="I5" i="4" s="1"/>
  <c r="K5" i="4" s="1"/>
  <c r="E5" i="6"/>
  <c r="B2" i="6"/>
  <c r="A2" i="6"/>
  <c r="AK86" i="7"/>
  <c r="AK22" i="7"/>
  <c r="AL118" i="7"/>
  <c r="AL46" i="7"/>
  <c r="AM78" i="7"/>
  <c r="AM38" i="7"/>
  <c r="AN102" i="7"/>
  <c r="AN30" i="7"/>
  <c r="AO134" i="7"/>
  <c r="AO30" i="7"/>
  <c r="AP102" i="7"/>
  <c r="AP70" i="7"/>
  <c r="AQ142" i="7"/>
  <c r="AQ78" i="7"/>
  <c r="BB2" i="7"/>
  <c r="AV126" i="7"/>
  <c r="AV94" i="7"/>
  <c r="AV22" i="7"/>
  <c r="AW94" i="7"/>
  <c r="AW62" i="7"/>
  <c r="AX102" i="7"/>
  <c r="AX70" i="7"/>
  <c r="AX6" i="7"/>
  <c r="AY110" i="7"/>
  <c r="AY78" i="7"/>
  <c r="AZ46" i="7"/>
  <c r="AZ14" i="7"/>
  <c r="BA118" i="7"/>
  <c r="BA86" i="7"/>
  <c r="BB54" i="7"/>
  <c r="BB22" i="7"/>
  <c r="AK102" i="7"/>
  <c r="AK38" i="7"/>
  <c r="AL126" i="7"/>
  <c r="AL54" i="7"/>
  <c r="AM86" i="7"/>
  <c r="AM14" i="7"/>
  <c r="AN110" i="7"/>
  <c r="AN38" i="7"/>
  <c r="AO142" i="7"/>
  <c r="AO38" i="7"/>
  <c r="AO6" i="7"/>
  <c r="AP110" i="7"/>
  <c r="AP78" i="7"/>
  <c r="AQ86" i="7"/>
  <c r="AQ54" i="7"/>
  <c r="AV2" i="7"/>
  <c r="AV134" i="7"/>
  <c r="AV102" i="7"/>
  <c r="AW70" i="7"/>
  <c r="AW38" i="7"/>
  <c r="AW6" i="7"/>
  <c r="AX78" i="7"/>
  <c r="AX46" i="7"/>
  <c r="AX14" i="7"/>
  <c r="AY86" i="7"/>
  <c r="AY54" i="7"/>
  <c r="AZ126" i="7"/>
  <c r="AZ54" i="7"/>
  <c r="AZ22" i="7"/>
  <c r="BA126" i="7"/>
  <c r="BA94" i="7"/>
  <c r="BB62" i="7"/>
  <c r="BB30" i="7"/>
  <c r="AK110" i="7"/>
  <c r="AK46" i="7"/>
  <c r="AL134" i="7"/>
  <c r="AL94" i="7"/>
  <c r="AL22" i="7"/>
  <c r="AM126" i="7"/>
  <c r="AM54" i="7"/>
  <c r="AN118" i="7"/>
  <c r="AN78" i="7"/>
  <c r="AN6" i="7"/>
  <c r="AO110" i="7"/>
  <c r="AP46" i="7"/>
  <c r="AP14" i="7"/>
  <c r="AQ118" i="7"/>
  <c r="AQ30" i="7"/>
  <c r="AW2" i="7"/>
  <c r="AV70" i="7"/>
  <c r="AV38" i="7"/>
  <c r="AW142" i="7"/>
  <c r="AW110" i="7"/>
  <c r="AX118" i="7"/>
  <c r="AY126" i="7"/>
  <c r="AY22" i="7"/>
  <c r="AZ94" i="7"/>
  <c r="AZ62" i="7"/>
  <c r="BA134" i="7"/>
  <c r="BA62" i="7"/>
  <c r="BA30" i="7"/>
  <c r="BB134" i="7"/>
  <c r="BB102" i="7"/>
  <c r="AK118" i="7"/>
  <c r="AK54" i="7"/>
  <c r="AL102" i="7"/>
  <c r="AL62" i="7"/>
  <c r="AM94" i="7"/>
  <c r="AM22" i="7"/>
  <c r="AN86" i="7"/>
  <c r="AN46" i="7"/>
  <c r="AO14" i="7"/>
  <c r="AP118" i="7"/>
  <c r="AP86" i="7"/>
  <c r="AQ94" i="7"/>
  <c r="AQ62" i="7"/>
  <c r="AX2" i="7"/>
  <c r="AV142" i="7"/>
  <c r="AV110" i="7"/>
  <c r="AV6" i="7"/>
  <c r="AW78" i="7"/>
  <c r="AW46" i="7"/>
  <c r="AW14" i="7"/>
  <c r="AX86" i="7"/>
  <c r="AX54" i="7"/>
  <c r="AY94" i="7"/>
  <c r="AY62" i="7"/>
  <c r="AZ134" i="7"/>
  <c r="AZ30" i="7"/>
  <c r="BA102" i="7"/>
  <c r="BA70" i="7"/>
  <c r="BB142" i="7"/>
  <c r="BB70" i="7"/>
  <c r="BB38" i="7"/>
  <c r="AK126" i="7"/>
  <c r="AK62" i="7"/>
  <c r="AL142" i="7"/>
  <c r="AL70" i="7"/>
  <c r="AL30" i="7"/>
  <c r="AM134" i="7"/>
  <c r="AN126" i="7"/>
  <c r="AN54" i="7"/>
  <c r="AP54" i="7"/>
  <c r="AP22" i="7"/>
  <c r="AQ126" i="7"/>
  <c r="AQ38" i="7"/>
  <c r="AY2" i="7"/>
  <c r="AV78" i="7"/>
  <c r="AV46" i="7"/>
  <c r="AW118" i="7"/>
  <c r="AY30" i="7"/>
  <c r="AZ102" i="7"/>
  <c r="AZ70" i="7"/>
  <c r="BA142" i="7"/>
  <c r="BA38" i="7"/>
  <c r="BA6" i="7"/>
  <c r="BB110" i="7"/>
  <c r="BB78" i="7"/>
  <c r="BB6" i="7"/>
  <c r="AK6" i="7"/>
  <c r="AM102" i="7"/>
  <c r="AN94" i="7"/>
  <c r="AN22" i="7"/>
  <c r="AO126" i="7"/>
  <c r="AV118" i="7"/>
  <c r="AV14" i="7"/>
  <c r="BA110" i="7"/>
  <c r="BA78" i="7"/>
  <c r="BB46" i="7"/>
  <c r="BB14" i="7"/>
  <c r="AX34" i="7"/>
  <c r="AN140" i="6"/>
  <c r="AU140" i="6"/>
  <c r="AS140" i="6"/>
  <c r="AR140" i="6"/>
  <c r="AQ140" i="6"/>
  <c r="AP140" i="6"/>
  <c r="AT140" i="6"/>
  <c r="AO140" i="6"/>
  <c r="AL136" i="7"/>
  <c r="AL8" i="7"/>
  <c r="AN74" i="6"/>
  <c r="AU74" i="6"/>
  <c r="AT74" i="6"/>
  <c r="AS74" i="6"/>
  <c r="AR74" i="6"/>
  <c r="AQ74" i="6"/>
  <c r="AP74" i="6"/>
  <c r="AO74" i="6"/>
  <c r="AL88" i="7"/>
  <c r="AL24" i="7"/>
  <c r="AM96" i="7"/>
  <c r="AM32" i="7"/>
  <c r="AN104" i="7"/>
  <c r="AN40" i="7"/>
  <c r="AO112" i="7"/>
  <c r="AO48" i="7"/>
  <c r="AP120" i="7"/>
  <c r="AP56" i="7"/>
  <c r="AQ128" i="7"/>
  <c r="AQ64" i="7"/>
  <c r="AV144" i="7"/>
  <c r="AV80" i="7"/>
  <c r="AV16" i="7"/>
  <c r="AW88" i="7"/>
  <c r="AW24" i="7"/>
  <c r="AX96" i="7"/>
  <c r="AX32" i="7"/>
  <c r="AY104" i="7"/>
  <c r="AY40" i="7"/>
  <c r="AZ112" i="7"/>
  <c r="AZ48" i="7"/>
  <c r="BA120" i="7"/>
  <c r="BA56" i="7"/>
  <c r="BB128" i="7"/>
  <c r="BB64" i="7"/>
  <c r="AU12" i="6"/>
  <c r="AT12" i="6"/>
  <c r="AS12" i="6"/>
  <c r="AN12" i="6"/>
  <c r="AR12" i="6"/>
  <c r="AQ12" i="6"/>
  <c r="AP12" i="6"/>
  <c r="AO12" i="6"/>
  <c r="AL104" i="7"/>
  <c r="AL40" i="7"/>
  <c r="AM112" i="7"/>
  <c r="AM48" i="7"/>
  <c r="AN120" i="7"/>
  <c r="AN56" i="7"/>
  <c r="AO128" i="7"/>
  <c r="AO64" i="7"/>
  <c r="AP136" i="7"/>
  <c r="AP72" i="7"/>
  <c r="AP8" i="7"/>
  <c r="AQ144" i="7"/>
  <c r="AQ16" i="7"/>
  <c r="AV96" i="7"/>
  <c r="AV32" i="7"/>
  <c r="AW104" i="7"/>
  <c r="AW40" i="7"/>
  <c r="AX112" i="7"/>
  <c r="AX48" i="7"/>
  <c r="AY120" i="7"/>
  <c r="AY56" i="7"/>
  <c r="AZ128" i="7"/>
  <c r="AZ64" i="7"/>
  <c r="BA136" i="7"/>
  <c r="BA72" i="7"/>
  <c r="BA8" i="7"/>
  <c r="BB144" i="7"/>
  <c r="BB80" i="7"/>
  <c r="BB16" i="7"/>
  <c r="AS31" i="6"/>
  <c r="AR31" i="6"/>
  <c r="AT31" i="6"/>
  <c r="AU31" i="6"/>
  <c r="AN31" i="6"/>
  <c r="AO31" i="6"/>
  <c r="AP31" i="6"/>
  <c r="AQ31" i="6"/>
  <c r="AN21" i="6"/>
  <c r="AU21" i="6"/>
  <c r="AS21" i="6"/>
  <c r="AT21" i="6"/>
  <c r="AQ21" i="6"/>
  <c r="AP21" i="6"/>
  <c r="AR21" i="6"/>
  <c r="AO21" i="6"/>
  <c r="AN11" i="6"/>
  <c r="AS11" i="6"/>
  <c r="AT11" i="6"/>
  <c r="AU11" i="6"/>
  <c r="AR11" i="6"/>
  <c r="AQ11" i="6"/>
  <c r="AP11" i="6"/>
  <c r="AO11" i="6"/>
  <c r="AL112" i="7"/>
  <c r="AL48" i="7"/>
  <c r="AM120" i="7"/>
  <c r="AM56" i="7"/>
  <c r="AN128" i="7"/>
  <c r="AN64" i="7"/>
  <c r="AO136" i="7"/>
  <c r="AO72" i="7"/>
  <c r="AO8" i="7"/>
  <c r="AP144" i="7"/>
  <c r="AP80" i="7"/>
  <c r="AP16" i="7"/>
  <c r="AQ88" i="7"/>
  <c r="AQ24" i="7"/>
  <c r="AV104" i="7"/>
  <c r="AV40" i="7"/>
  <c r="AW112" i="7"/>
  <c r="AW48" i="7"/>
  <c r="AX120" i="7"/>
  <c r="AX56" i="7"/>
  <c r="AY128" i="7"/>
  <c r="AY64" i="7"/>
  <c r="AZ136" i="7"/>
  <c r="AZ72" i="7"/>
  <c r="AZ8" i="7"/>
  <c r="BA144" i="7"/>
  <c r="BA80" i="7"/>
  <c r="BA16" i="7"/>
  <c r="BB88" i="7"/>
  <c r="BB24" i="7"/>
  <c r="W107" i="1"/>
  <c r="AU20" i="6"/>
  <c r="AT20" i="6"/>
  <c r="AS20" i="6"/>
  <c r="AN20" i="6"/>
  <c r="AR20" i="6"/>
  <c r="AQ20" i="6"/>
  <c r="AP20" i="6"/>
  <c r="AO20" i="6"/>
  <c r="AL120" i="7"/>
  <c r="AL56" i="7"/>
  <c r="AM128" i="7"/>
  <c r="AM64" i="7"/>
  <c r="AN136" i="7"/>
  <c r="AN72" i="7"/>
  <c r="AN8" i="7"/>
  <c r="AO144" i="7"/>
  <c r="AO80" i="7"/>
  <c r="AO16" i="7"/>
  <c r="AP88" i="7"/>
  <c r="AP24" i="7"/>
  <c r="AQ32" i="7"/>
  <c r="AV112" i="7"/>
  <c r="AV48" i="7"/>
  <c r="AW120" i="7"/>
  <c r="AW56" i="7"/>
  <c r="AX128" i="7"/>
  <c r="AX64" i="7"/>
  <c r="AY136" i="7"/>
  <c r="AY72" i="7"/>
  <c r="AY8" i="7"/>
  <c r="AZ144" i="7"/>
  <c r="AZ80" i="7"/>
  <c r="AZ16" i="7"/>
  <c r="BA88" i="7"/>
  <c r="BA24" i="7"/>
  <c r="BB96" i="7"/>
  <c r="BB32" i="7"/>
  <c r="AN129" i="6"/>
  <c r="AU129" i="6"/>
  <c r="AT129" i="6"/>
  <c r="AQ129" i="6"/>
  <c r="AR129" i="6"/>
  <c r="AP129" i="6"/>
  <c r="AO129" i="6"/>
  <c r="AS129" i="6"/>
  <c r="AO88" i="7"/>
  <c r="AO24" i="7"/>
  <c r="AP96" i="7"/>
  <c r="AP32" i="7"/>
  <c r="AQ104" i="7"/>
  <c r="AQ40" i="7"/>
  <c r="AV120" i="7"/>
  <c r="AV56" i="7"/>
  <c r="AW128" i="7"/>
  <c r="AW64" i="7"/>
  <c r="AX136" i="7"/>
  <c r="AX72" i="7"/>
  <c r="AX8" i="7"/>
  <c r="AY144" i="7"/>
  <c r="AY80" i="7"/>
  <c r="AY16" i="7"/>
  <c r="AZ88" i="7"/>
  <c r="AZ24" i="7"/>
  <c r="BA96" i="7"/>
  <c r="BA32" i="7"/>
  <c r="BB104" i="7"/>
  <c r="BB40" i="7"/>
  <c r="AL72" i="7"/>
  <c r="AM144" i="7"/>
  <c r="AM80" i="7"/>
  <c r="AM16" i="7"/>
  <c r="AN88" i="7"/>
  <c r="AN24" i="7"/>
  <c r="AO96" i="7"/>
  <c r="AO32" i="7"/>
  <c r="AP104" i="7"/>
  <c r="AP40" i="7"/>
  <c r="AQ112" i="7"/>
  <c r="AW136" i="7"/>
  <c r="AW72" i="7"/>
  <c r="AW8" i="7"/>
  <c r="AX144" i="7"/>
  <c r="AX80" i="7"/>
  <c r="AX16" i="7"/>
  <c r="AY88" i="7"/>
  <c r="AY24" i="7"/>
  <c r="AZ96" i="7"/>
  <c r="AZ32" i="7"/>
  <c r="BA104" i="7"/>
  <c r="BA40" i="7"/>
  <c r="BB112" i="7"/>
  <c r="BB48" i="7"/>
  <c r="AN75" i="6"/>
  <c r="AU75" i="6"/>
  <c r="AT75" i="6"/>
  <c r="AS75" i="6"/>
  <c r="AR75" i="6"/>
  <c r="AQ75" i="6"/>
  <c r="AP75" i="6"/>
  <c r="AO75" i="6"/>
  <c r="AN99" i="6"/>
  <c r="AU99" i="6"/>
  <c r="AT99" i="6"/>
  <c r="AS99" i="6"/>
  <c r="AR99" i="6"/>
  <c r="AQ99" i="6"/>
  <c r="AP99" i="6"/>
  <c r="AO99" i="6"/>
  <c r="AK144" i="7"/>
  <c r="AK120" i="7"/>
  <c r="AK112" i="7"/>
  <c r="AK104" i="7"/>
  <c r="AK96" i="7"/>
  <c r="AK88" i="7"/>
  <c r="AK80" i="7"/>
  <c r="AK56" i="7"/>
  <c r="AK48" i="7"/>
  <c r="AK40" i="7"/>
  <c r="AK32" i="7"/>
  <c r="AK24" i="7"/>
  <c r="AK16" i="7"/>
  <c r="BB145" i="7"/>
  <c r="BB137" i="7"/>
  <c r="BB129" i="7"/>
  <c r="BB121" i="7"/>
  <c r="BB113" i="7"/>
  <c r="BB105" i="7"/>
  <c r="BB97" i="7"/>
  <c r="BB89" i="7"/>
  <c r="BB81" i="7"/>
  <c r="BB73" i="7"/>
  <c r="BB65" i="7"/>
  <c r="BB57" i="7"/>
  <c r="BB49" i="7"/>
  <c r="BB41" i="7"/>
  <c r="BB33" i="7"/>
  <c r="BB25" i="7"/>
  <c r="BB17" i="7"/>
  <c r="BB9" i="7"/>
  <c r="AV145" i="7"/>
  <c r="AV137" i="7"/>
  <c r="AV129" i="7"/>
  <c r="AV121" i="7"/>
  <c r="AV113" i="7"/>
  <c r="AV105" i="7"/>
  <c r="AV97" i="7"/>
  <c r="AV89" i="7"/>
  <c r="AV81" i="7"/>
  <c r="AV73" i="7"/>
  <c r="AV65" i="7"/>
  <c r="AV57" i="7"/>
  <c r="AV49" i="7"/>
  <c r="AV41" i="7"/>
  <c r="AV33" i="7"/>
  <c r="AV25" i="7"/>
  <c r="AV17" i="7"/>
  <c r="AV9" i="7"/>
  <c r="AW145" i="7"/>
  <c r="AW137" i="7"/>
  <c r="AW129" i="7"/>
  <c r="AW121" i="7"/>
  <c r="AW113" i="7"/>
  <c r="AW105" i="7"/>
  <c r="AW97" i="7"/>
  <c r="AW89" i="7"/>
  <c r="AW81" i="7"/>
  <c r="AW73" i="7"/>
  <c r="AW65" i="7"/>
  <c r="AW57" i="7"/>
  <c r="AW49" i="7"/>
  <c r="AW41" i="7"/>
  <c r="AW33" i="7"/>
  <c r="AW25" i="7"/>
  <c r="AW17" i="7"/>
  <c r="AW9" i="7"/>
  <c r="AX145" i="7"/>
  <c r="AX137" i="7"/>
  <c r="AX129" i="7"/>
  <c r="AX121" i="7"/>
  <c r="AX113" i="7"/>
  <c r="AX105" i="7"/>
  <c r="AX97" i="7"/>
  <c r="AX89" i="7"/>
  <c r="AX81" i="7"/>
  <c r="AX73" i="7"/>
  <c r="AX65" i="7"/>
  <c r="AX57" i="7"/>
  <c r="AX49" i="7"/>
  <c r="AX41" i="7"/>
  <c r="AX33" i="7"/>
  <c r="AX25" i="7"/>
  <c r="AX17" i="7"/>
  <c r="AX9" i="7"/>
  <c r="AY145" i="7"/>
  <c r="AY137" i="7"/>
  <c r="AY129" i="7"/>
  <c r="AY121" i="7"/>
  <c r="AY113" i="7"/>
  <c r="AY105" i="7"/>
  <c r="AY97" i="7"/>
  <c r="AY89" i="7"/>
  <c r="AY81" i="7"/>
  <c r="AY73" i="7"/>
  <c r="AY65" i="7"/>
  <c r="AY57" i="7"/>
  <c r="AY49" i="7"/>
  <c r="AY41" i="7"/>
  <c r="AY33" i="7"/>
  <c r="AY25" i="7"/>
  <c r="AY17" i="7"/>
  <c r="AY9" i="7"/>
  <c r="AZ145" i="7"/>
  <c r="AZ137" i="7"/>
  <c r="AZ129" i="7"/>
  <c r="AZ121" i="7"/>
  <c r="AZ113" i="7"/>
  <c r="AZ105" i="7"/>
  <c r="AZ97" i="7"/>
  <c r="AZ89" i="7"/>
  <c r="AZ81" i="7"/>
  <c r="AZ73" i="7"/>
  <c r="AZ65" i="7"/>
  <c r="AZ57" i="7"/>
  <c r="AZ49" i="7"/>
  <c r="AZ41" i="7"/>
  <c r="AZ33" i="7"/>
  <c r="AZ25" i="7"/>
  <c r="AZ17" i="7"/>
  <c r="AZ9" i="7"/>
  <c r="AL145" i="7"/>
  <c r="AL137" i="7"/>
  <c r="AL129" i="7"/>
  <c r="AL121" i="7"/>
  <c r="AL113" i="7"/>
  <c r="AL105" i="7"/>
  <c r="AL97" i="7"/>
  <c r="AL89" i="7"/>
  <c r="AL81" i="7"/>
  <c r="AL73" i="7"/>
  <c r="AL65" i="7"/>
  <c r="AL57" i="7"/>
  <c r="AL49" i="7"/>
  <c r="AL41" i="7"/>
  <c r="AL33" i="7"/>
  <c r="AL25" i="7"/>
  <c r="AL17" i="7"/>
  <c r="AL9" i="7"/>
  <c r="AM145" i="7"/>
  <c r="AM137" i="7"/>
  <c r="AM129" i="7"/>
  <c r="AM121" i="7"/>
  <c r="AM113" i="7"/>
  <c r="AM105" i="7"/>
  <c r="AM97" i="7"/>
  <c r="AM89" i="7"/>
  <c r="AM81" i="7"/>
  <c r="AM73" i="7"/>
  <c r="AM65" i="7"/>
  <c r="AM57" i="7"/>
  <c r="AM49" i="7"/>
  <c r="AM41" i="7"/>
  <c r="AM33" i="7"/>
  <c r="AM25" i="7"/>
  <c r="AM17" i="7"/>
  <c r="AM9" i="7"/>
  <c r="AN145" i="7"/>
  <c r="AN137" i="7"/>
  <c r="AN129" i="7"/>
  <c r="AN121" i="7"/>
  <c r="AN113" i="7"/>
  <c r="AN105" i="7"/>
  <c r="AN97" i="7"/>
  <c r="AN89" i="7"/>
  <c r="AN81" i="7"/>
  <c r="AN73" i="7"/>
  <c r="AN65" i="7"/>
  <c r="AN57" i="7"/>
  <c r="AN49" i="7"/>
  <c r="AN41" i="7"/>
  <c r="AN33" i="7"/>
  <c r="AN25" i="7"/>
  <c r="AN17" i="7"/>
  <c r="AN9" i="7"/>
  <c r="AO145" i="7"/>
  <c r="AO137" i="7"/>
  <c r="AO129" i="7"/>
  <c r="AO121" i="7"/>
  <c r="AO113" i="7"/>
  <c r="AO105" i="7"/>
  <c r="AO97" i="7"/>
  <c r="AO89" i="7"/>
  <c r="AO81" i="7"/>
  <c r="AO73" i="7"/>
  <c r="AO65" i="7"/>
  <c r="AO57" i="7"/>
  <c r="AO49" i="7"/>
  <c r="AO41" i="7"/>
  <c r="AO33" i="7"/>
  <c r="AO25" i="7"/>
  <c r="AO17" i="7"/>
  <c r="AO9" i="7"/>
  <c r="AP145" i="7"/>
  <c r="AP137" i="7"/>
  <c r="AP129" i="7"/>
  <c r="AP121" i="7"/>
  <c r="AP113" i="7"/>
  <c r="AP105" i="7"/>
  <c r="AP97" i="7"/>
  <c r="AP89" i="7"/>
  <c r="AP81" i="7"/>
  <c r="AP73" i="7"/>
  <c r="AP57" i="7"/>
  <c r="AP49" i="7"/>
  <c r="AP41" i="7"/>
  <c r="AP33" i="7"/>
  <c r="AP25" i="7"/>
  <c r="AP17" i="7"/>
  <c r="AP9" i="7"/>
  <c r="AA25" i="7"/>
  <c r="AB143" i="7"/>
  <c r="AB121" i="7"/>
  <c r="AA121" i="7"/>
  <c r="AA89" i="7"/>
  <c r="AD127" i="7"/>
  <c r="AA57" i="7"/>
  <c r="AE111" i="7"/>
  <c r="Z143" i="7"/>
  <c r="Z111" i="7"/>
  <c r="Z79" i="7"/>
  <c r="Z47" i="7"/>
  <c r="Z15" i="7"/>
  <c r="AA96" i="7"/>
  <c r="AA64" i="7"/>
  <c r="AA32" i="7"/>
  <c r="AB145" i="7"/>
  <c r="AB103" i="7"/>
  <c r="AE112" i="7"/>
  <c r="AE39" i="7"/>
  <c r="AF96" i="7"/>
  <c r="Z136" i="7"/>
  <c r="Z8" i="7"/>
  <c r="AF88" i="7"/>
  <c r="Z135" i="7"/>
  <c r="Z103" i="7"/>
  <c r="Z71" i="7"/>
  <c r="Z39" i="7"/>
  <c r="Z7" i="7"/>
  <c r="AA120" i="7"/>
  <c r="AA88" i="7"/>
  <c r="AA56" i="7"/>
  <c r="AA24" i="7"/>
  <c r="AB119" i="7"/>
  <c r="AD95" i="7"/>
  <c r="AE103" i="7"/>
  <c r="AE15" i="7"/>
  <c r="AF65" i="7"/>
  <c r="Z72" i="7"/>
  <c r="AE16" i="7"/>
  <c r="Z128" i="7"/>
  <c r="Z96" i="7"/>
  <c r="Z64" i="7"/>
  <c r="Z32" i="7"/>
  <c r="AA145" i="7"/>
  <c r="AA113" i="7"/>
  <c r="AA81" i="7"/>
  <c r="AA49" i="7"/>
  <c r="AA17" i="7"/>
  <c r="AB137" i="7"/>
  <c r="AD63" i="7"/>
  <c r="AE80" i="7"/>
  <c r="AE7" i="7"/>
  <c r="AF64" i="7"/>
  <c r="Z40" i="7"/>
  <c r="Z127" i="7"/>
  <c r="Z95" i="7"/>
  <c r="Z63" i="7"/>
  <c r="Z31" i="7"/>
  <c r="AA144" i="7"/>
  <c r="AA80" i="7"/>
  <c r="AA48" i="7"/>
  <c r="AA16" i="7"/>
  <c r="AB135" i="7"/>
  <c r="AB113" i="7"/>
  <c r="AD31" i="7"/>
  <c r="AE79" i="7"/>
  <c r="AF129" i="7"/>
  <c r="AF56" i="7"/>
  <c r="Z120" i="7"/>
  <c r="Z24" i="7"/>
  <c r="AA105" i="7"/>
  <c r="AB111" i="7"/>
  <c r="AE144" i="7"/>
  <c r="AE71" i="7"/>
  <c r="AF128" i="7"/>
  <c r="AF33" i="7"/>
  <c r="Z119" i="7"/>
  <c r="Z87" i="7"/>
  <c r="Z55" i="7"/>
  <c r="Z23" i="7"/>
  <c r="AA136" i="7"/>
  <c r="AA104" i="7"/>
  <c r="AA72" i="7"/>
  <c r="AA40" i="7"/>
  <c r="AA8" i="7"/>
  <c r="AB129" i="7"/>
  <c r="AE143" i="7"/>
  <c r="AE48" i="7"/>
  <c r="AF120" i="7"/>
  <c r="AF32" i="7"/>
  <c r="Z104" i="7"/>
  <c r="Z144" i="7"/>
  <c r="Z112" i="7"/>
  <c r="Z80" i="7"/>
  <c r="Z48" i="7"/>
  <c r="Z16" i="7"/>
  <c r="AA97" i="7"/>
  <c r="AB127" i="7"/>
  <c r="AE135" i="7"/>
  <c r="AE47" i="7"/>
  <c r="AF142" i="7"/>
  <c r="AE142" i="7"/>
  <c r="AD142" i="7"/>
  <c r="AB142" i="7"/>
  <c r="AA142" i="7"/>
  <c r="AF134" i="7"/>
  <c r="AE134" i="7"/>
  <c r="AD134" i="7"/>
  <c r="AB134" i="7"/>
  <c r="AA134" i="7"/>
  <c r="AC134" i="7"/>
  <c r="Z134" i="7"/>
  <c r="AF126" i="7"/>
  <c r="AE126" i="7"/>
  <c r="AC126" i="7"/>
  <c r="AB126" i="7"/>
  <c r="AA126" i="7"/>
  <c r="Z126" i="7"/>
  <c r="AD126" i="7"/>
  <c r="AF118" i="7"/>
  <c r="AE118" i="7"/>
  <c r="AC118" i="7"/>
  <c r="AB118" i="7"/>
  <c r="AD118" i="7"/>
  <c r="AA118" i="7"/>
  <c r="Z118" i="7"/>
  <c r="AF110" i="7"/>
  <c r="AE110" i="7"/>
  <c r="AD110" i="7"/>
  <c r="AB110" i="7"/>
  <c r="AA110" i="7"/>
  <c r="Z110" i="7"/>
  <c r="AF102" i="7"/>
  <c r="AE102" i="7"/>
  <c r="AD102" i="7"/>
  <c r="AB102" i="7"/>
  <c r="AC102" i="7"/>
  <c r="Z102" i="7"/>
  <c r="AF94" i="7"/>
  <c r="AE94" i="7"/>
  <c r="AB94" i="7"/>
  <c r="AC94" i="7"/>
  <c r="AA94" i="7"/>
  <c r="Z94" i="7"/>
  <c r="AD94" i="7"/>
  <c r="AF86" i="7"/>
  <c r="AE86" i="7"/>
  <c r="AC86" i="7"/>
  <c r="AD86" i="7"/>
  <c r="AA86" i="7"/>
  <c r="AB86" i="7"/>
  <c r="Z86" i="7"/>
  <c r="AF78" i="7"/>
  <c r="AE78" i="7"/>
  <c r="AD78" i="7"/>
  <c r="AB78" i="7"/>
  <c r="AA78" i="7"/>
  <c r="Z78" i="7"/>
  <c r="AF70" i="7"/>
  <c r="AE70" i="7"/>
  <c r="AD70" i="7"/>
  <c r="AA70" i="7"/>
  <c r="AC70" i="7"/>
  <c r="Z70" i="7"/>
  <c r="AF62" i="7"/>
  <c r="AE62" i="7"/>
  <c r="AC62" i="7"/>
  <c r="AB62" i="7"/>
  <c r="Z62" i="7"/>
  <c r="AD62" i="7"/>
  <c r="AF54" i="7"/>
  <c r="AE54" i="7"/>
  <c r="AC54" i="7"/>
  <c r="AB54" i="7"/>
  <c r="AA54" i="7"/>
  <c r="Z54" i="7"/>
  <c r="AF46" i="7"/>
  <c r="AE46" i="7"/>
  <c r="AD46" i="7"/>
  <c r="Z46" i="7"/>
  <c r="AB46" i="7"/>
  <c r="AF38" i="7"/>
  <c r="AE38" i="7"/>
  <c r="AD38" i="7"/>
  <c r="AB38" i="7"/>
  <c r="AA38" i="7"/>
  <c r="AC38" i="7"/>
  <c r="Z38" i="7"/>
  <c r="AF30" i="7"/>
  <c r="AE30" i="7"/>
  <c r="AB30" i="7"/>
  <c r="AC30" i="7"/>
  <c r="Z30" i="7"/>
  <c r="AD30" i="7"/>
  <c r="AF22" i="7"/>
  <c r="AE22" i="7"/>
  <c r="AB22" i="7"/>
  <c r="AC22" i="7"/>
  <c r="AD22" i="7"/>
  <c r="Z22" i="7"/>
  <c r="AF14" i="7"/>
  <c r="AE14" i="7"/>
  <c r="AB14" i="7"/>
  <c r="AD14" i="7"/>
  <c r="AA14" i="7"/>
  <c r="Z14" i="7"/>
  <c r="AF6" i="7"/>
  <c r="AE6" i="7"/>
  <c r="AB6" i="7"/>
  <c r="AD6" i="7"/>
  <c r="AA6" i="7"/>
  <c r="AC6" i="7"/>
  <c r="Z6" i="7"/>
  <c r="AB70" i="7"/>
  <c r="AC78" i="7"/>
  <c r="AF141" i="7"/>
  <c r="AE141" i="7"/>
  <c r="AD141" i="7"/>
  <c r="AB141" i="7"/>
  <c r="Z141" i="7"/>
  <c r="AC141" i="7"/>
  <c r="AF133" i="7"/>
  <c r="AE133" i="7"/>
  <c r="AD133" i="7"/>
  <c r="AB133" i="7"/>
  <c r="AA133" i="7"/>
  <c r="AC133" i="7"/>
  <c r="Z133" i="7"/>
  <c r="AF125" i="7"/>
  <c r="AE125" i="7"/>
  <c r="AD125" i="7"/>
  <c r="AC125" i="7"/>
  <c r="AB125" i="7"/>
  <c r="AA125" i="7"/>
  <c r="Z125" i="7"/>
  <c r="AF117" i="7"/>
  <c r="AE117" i="7"/>
  <c r="AD117" i="7"/>
  <c r="AC117" i="7"/>
  <c r="AB117" i="7"/>
  <c r="AA117" i="7"/>
  <c r="Z117" i="7"/>
  <c r="AF109" i="7"/>
  <c r="AE109" i="7"/>
  <c r="AD109" i="7"/>
  <c r="AB109" i="7"/>
  <c r="AA109" i="7"/>
  <c r="Z109" i="7"/>
  <c r="AC109" i="7"/>
  <c r="AF101" i="7"/>
  <c r="AE101" i="7"/>
  <c r="AD101" i="7"/>
  <c r="AB101" i="7"/>
  <c r="AA101" i="7"/>
  <c r="AC101" i="7"/>
  <c r="Z101" i="7"/>
  <c r="AF93" i="7"/>
  <c r="AE93" i="7"/>
  <c r="AD93" i="7"/>
  <c r="AC93" i="7"/>
  <c r="AA93" i="7"/>
  <c r="Z93" i="7"/>
  <c r="AC46" i="7"/>
  <c r="AE85" i="7"/>
  <c r="AD85" i="7"/>
  <c r="AF77" i="7"/>
  <c r="AE77" i="7"/>
  <c r="AD77" i="7"/>
  <c r="AE69" i="7"/>
  <c r="AD69" i="7"/>
  <c r="AF61" i="7"/>
  <c r="AE61" i="7"/>
  <c r="AD61" i="7"/>
  <c r="AF53" i="7"/>
  <c r="AE53" i="7"/>
  <c r="AD53" i="7"/>
  <c r="AF45" i="7"/>
  <c r="AE45" i="7"/>
  <c r="AD45" i="7"/>
  <c r="AF37" i="7"/>
  <c r="AE37" i="7"/>
  <c r="AD37" i="7"/>
  <c r="AF29" i="7"/>
  <c r="AE29" i="7"/>
  <c r="AD29" i="7"/>
  <c r="AF21" i="7"/>
  <c r="AE21" i="7"/>
  <c r="AD21" i="7"/>
  <c r="AF13" i="7"/>
  <c r="AE13" i="7"/>
  <c r="AD13" i="7"/>
  <c r="AF5" i="7"/>
  <c r="AE5" i="7"/>
  <c r="AD5" i="7"/>
  <c r="AB69" i="7"/>
  <c r="AC77" i="7"/>
  <c r="AC45" i="7"/>
  <c r="AC13" i="7"/>
  <c r="AF140" i="7"/>
  <c r="AE140" i="7"/>
  <c r="AD140" i="7"/>
  <c r="AC140" i="7"/>
  <c r="AF132" i="7"/>
  <c r="AE132" i="7"/>
  <c r="AD132" i="7"/>
  <c r="AC132" i="7"/>
  <c r="AF124" i="7"/>
  <c r="AE124" i="7"/>
  <c r="AD124" i="7"/>
  <c r="AC124" i="7"/>
  <c r="AF116" i="7"/>
  <c r="AE116" i="7"/>
  <c r="AD116" i="7"/>
  <c r="AC116" i="7"/>
  <c r="AF108" i="7"/>
  <c r="AE108" i="7"/>
  <c r="AD108" i="7"/>
  <c r="AC108" i="7"/>
  <c r="AF100" i="7"/>
  <c r="AE100" i="7"/>
  <c r="AD100" i="7"/>
  <c r="AC100" i="7"/>
  <c r="AF92" i="7"/>
  <c r="AE92" i="7"/>
  <c r="AD92" i="7"/>
  <c r="AC92" i="7"/>
  <c r="AF84" i="7"/>
  <c r="AE84" i="7"/>
  <c r="AD84" i="7"/>
  <c r="AC84" i="7"/>
  <c r="AF76" i="7"/>
  <c r="AE76" i="7"/>
  <c r="AD76" i="7"/>
  <c r="AC76" i="7"/>
  <c r="AF68" i="7"/>
  <c r="AE68" i="7"/>
  <c r="AD68" i="7"/>
  <c r="AC68" i="7"/>
  <c r="AF60" i="7"/>
  <c r="AE60" i="7"/>
  <c r="AD60" i="7"/>
  <c r="AC60" i="7"/>
  <c r="AF52" i="7"/>
  <c r="AE52" i="7"/>
  <c r="AD52" i="7"/>
  <c r="AC52" i="7"/>
  <c r="AF44" i="7"/>
  <c r="AE44" i="7"/>
  <c r="AD44" i="7"/>
  <c r="AC44" i="7"/>
  <c r="AF36" i="7"/>
  <c r="AE36" i="7"/>
  <c r="AD36" i="7"/>
  <c r="AC36" i="7"/>
  <c r="AF28" i="7"/>
  <c r="AE28" i="7"/>
  <c r="AD28" i="7"/>
  <c r="AC28" i="7"/>
  <c r="AF20" i="7"/>
  <c r="AE20" i="7"/>
  <c r="AD20" i="7"/>
  <c r="AC20" i="7"/>
  <c r="AF12" i="7"/>
  <c r="AE12" i="7"/>
  <c r="AD12" i="7"/>
  <c r="AF4" i="7"/>
  <c r="AE4" i="7"/>
  <c r="AD4" i="7"/>
  <c r="AC4" i="7"/>
  <c r="AA135" i="7"/>
  <c r="AA127" i="7"/>
  <c r="AA119" i="7"/>
  <c r="AA111" i="7"/>
  <c r="AA103" i="7"/>
  <c r="AA95" i="7"/>
  <c r="AA87" i="7"/>
  <c r="AA79" i="7"/>
  <c r="AA71" i="7"/>
  <c r="AA63" i="7"/>
  <c r="AA55" i="7"/>
  <c r="AA47" i="7"/>
  <c r="AA39" i="7"/>
  <c r="AA31" i="7"/>
  <c r="AA23" i="7"/>
  <c r="AA15" i="7"/>
  <c r="AA7" i="7"/>
  <c r="AB144" i="7"/>
  <c r="AB136" i="7"/>
  <c r="AB128" i="7"/>
  <c r="AB112" i="7"/>
  <c r="AB104" i="7"/>
  <c r="AB68" i="7"/>
  <c r="AB45" i="7"/>
  <c r="AB21" i="7"/>
  <c r="AF139" i="7"/>
  <c r="AE139" i="7"/>
  <c r="AD139" i="7"/>
  <c r="AC139" i="7"/>
  <c r="AF123" i="7"/>
  <c r="AE123" i="7"/>
  <c r="AD123" i="7"/>
  <c r="AC123" i="7"/>
  <c r="AF99" i="7"/>
  <c r="AE99" i="7"/>
  <c r="AD99" i="7"/>
  <c r="AC99" i="7"/>
  <c r="AB99" i="7"/>
  <c r="AF75" i="7"/>
  <c r="AE75" i="7"/>
  <c r="AD75" i="7"/>
  <c r="AC75" i="7"/>
  <c r="AB75" i="7"/>
  <c r="AF59" i="7"/>
  <c r="AE59" i="7"/>
  <c r="AD59" i="7"/>
  <c r="AC59" i="7"/>
  <c r="AB59" i="7"/>
  <c r="Z85" i="7"/>
  <c r="Z77" i="7"/>
  <c r="Z69" i="7"/>
  <c r="Z61" i="7"/>
  <c r="Z53" i="7"/>
  <c r="Z45" i="7"/>
  <c r="Z37" i="7"/>
  <c r="Z29" i="7"/>
  <c r="Z21" i="7"/>
  <c r="Z13" i="7"/>
  <c r="Z5" i="7"/>
  <c r="AB85" i="7"/>
  <c r="AC69" i="7"/>
  <c r="AC37" i="7"/>
  <c r="AC5" i="7"/>
  <c r="AE146" i="7"/>
  <c r="AC146" i="7"/>
  <c r="AF146" i="7"/>
  <c r="AE138" i="7"/>
  <c r="AD138" i="7"/>
  <c r="AC138" i="7"/>
  <c r="AF138" i="7"/>
  <c r="AE130" i="7"/>
  <c r="AD130" i="7"/>
  <c r="AC130" i="7"/>
  <c r="AF130" i="7"/>
  <c r="AE122" i="7"/>
  <c r="AD122" i="7"/>
  <c r="AC122" i="7"/>
  <c r="AF122" i="7"/>
  <c r="AE114" i="7"/>
  <c r="AD114" i="7"/>
  <c r="AC114" i="7"/>
  <c r="AF114" i="7"/>
  <c r="AE106" i="7"/>
  <c r="AD106" i="7"/>
  <c r="AC106" i="7"/>
  <c r="AF106" i="7"/>
  <c r="AE98" i="7"/>
  <c r="AD98" i="7"/>
  <c r="AC98" i="7"/>
  <c r="AB98" i="7"/>
  <c r="AF98" i="7"/>
  <c r="AE90" i="7"/>
  <c r="AC90" i="7"/>
  <c r="AB90" i="7"/>
  <c r="AF90" i="7"/>
  <c r="AE82" i="7"/>
  <c r="AD82" i="7"/>
  <c r="AC82" i="7"/>
  <c r="AB82" i="7"/>
  <c r="AF82" i="7"/>
  <c r="AE74" i="7"/>
  <c r="AD74" i="7"/>
  <c r="AC74" i="7"/>
  <c r="AB74" i="7"/>
  <c r="AF74" i="7"/>
  <c r="AD66" i="7"/>
  <c r="AC66" i="7"/>
  <c r="AB66" i="7"/>
  <c r="AF66" i="7"/>
  <c r="AE58" i="7"/>
  <c r="AD58" i="7"/>
  <c r="AC58" i="7"/>
  <c r="AB58" i="7"/>
  <c r="AF58" i="7"/>
  <c r="AE50" i="7"/>
  <c r="AD50" i="7"/>
  <c r="AC50" i="7"/>
  <c r="AB50" i="7"/>
  <c r="AF50" i="7"/>
  <c r="AE42" i="7"/>
  <c r="AD42" i="7"/>
  <c r="AC42" i="7"/>
  <c r="AF42" i="7"/>
  <c r="AE34" i="7"/>
  <c r="AD34" i="7"/>
  <c r="AC34" i="7"/>
  <c r="AB34" i="7"/>
  <c r="AF34" i="7"/>
  <c r="AE26" i="7"/>
  <c r="AD26" i="7"/>
  <c r="AC26" i="7"/>
  <c r="AF26" i="7"/>
  <c r="AE18" i="7"/>
  <c r="AD18" i="7"/>
  <c r="AC18" i="7"/>
  <c r="AB18" i="7"/>
  <c r="AF18" i="7"/>
  <c r="AE10" i="7"/>
  <c r="AD10" i="7"/>
  <c r="AC10" i="7"/>
  <c r="AF10" i="7"/>
  <c r="Z2" i="7"/>
  <c r="Z140" i="7"/>
  <c r="Z132" i="7"/>
  <c r="Z124" i="7"/>
  <c r="Z116" i="7"/>
  <c r="Z108" i="7"/>
  <c r="Z100" i="7"/>
  <c r="Z92" i="7"/>
  <c r="Z84" i="7"/>
  <c r="Z76" i="7"/>
  <c r="Z68" i="7"/>
  <c r="Z60" i="7"/>
  <c r="Z52" i="7"/>
  <c r="Z44" i="7"/>
  <c r="Z36" i="7"/>
  <c r="Z28" i="7"/>
  <c r="Z20" i="7"/>
  <c r="Z12" i="7"/>
  <c r="Z4" i="7"/>
  <c r="AA85" i="7"/>
  <c r="AA77" i="7"/>
  <c r="AA69" i="7"/>
  <c r="AA53" i="7"/>
  <c r="AA45" i="7"/>
  <c r="AA37" i="7"/>
  <c r="AA29" i="7"/>
  <c r="AA21" i="7"/>
  <c r="AA13" i="7"/>
  <c r="AA5" i="7"/>
  <c r="AB84" i="7"/>
  <c r="AB61" i="7"/>
  <c r="AB13" i="7"/>
  <c r="AD145" i="7"/>
  <c r="AC145" i="7"/>
  <c r="AE145" i="7"/>
  <c r="AD137" i="7"/>
  <c r="AC137" i="7"/>
  <c r="AE137" i="7"/>
  <c r="AC129" i="7"/>
  <c r="AE129" i="7"/>
  <c r="AD121" i="7"/>
  <c r="AC121" i="7"/>
  <c r="AE121" i="7"/>
  <c r="AD113" i="7"/>
  <c r="AC113" i="7"/>
  <c r="AE113" i="7"/>
  <c r="AD105" i="7"/>
  <c r="AC105" i="7"/>
  <c r="AE105" i="7"/>
  <c r="AD97" i="7"/>
  <c r="AC97" i="7"/>
  <c r="AB97" i="7"/>
  <c r="AE97" i="7"/>
  <c r="AD89" i="7"/>
  <c r="AC89" i="7"/>
  <c r="AB89" i="7"/>
  <c r="AE89" i="7"/>
  <c r="AD81" i="7"/>
  <c r="AC81" i="7"/>
  <c r="AB81" i="7"/>
  <c r="AE81" i="7"/>
  <c r="AD73" i="7"/>
  <c r="AC73" i="7"/>
  <c r="AB73" i="7"/>
  <c r="AE73" i="7"/>
  <c r="AD65" i="7"/>
  <c r="AC65" i="7"/>
  <c r="AB65" i="7"/>
  <c r="AE65" i="7"/>
  <c r="AD57" i="7"/>
  <c r="AC57" i="7"/>
  <c r="AB57" i="7"/>
  <c r="AE57" i="7"/>
  <c r="AD49" i="7"/>
  <c r="AC49" i="7"/>
  <c r="AB49" i="7"/>
  <c r="AE49" i="7"/>
  <c r="AD41" i="7"/>
  <c r="AC41" i="7"/>
  <c r="AB41" i="7"/>
  <c r="AE41" i="7"/>
  <c r="AD33" i="7"/>
  <c r="AB33" i="7"/>
  <c r="AE33" i="7"/>
  <c r="AD25" i="7"/>
  <c r="AC25" i="7"/>
  <c r="AB25" i="7"/>
  <c r="AE25" i="7"/>
  <c r="AD17" i="7"/>
  <c r="AB17" i="7"/>
  <c r="AE17" i="7"/>
  <c r="AD9" i="7"/>
  <c r="AC9" i="7"/>
  <c r="AB9" i="7"/>
  <c r="AE9" i="7"/>
  <c r="Z147" i="7"/>
  <c r="Z139" i="7"/>
  <c r="Z131" i="7"/>
  <c r="Z123" i="7"/>
  <c r="Z107" i="7"/>
  <c r="Z99" i="7"/>
  <c r="Z91" i="7"/>
  <c r="Z75" i="7"/>
  <c r="Z67" i="7"/>
  <c r="Z59" i="7"/>
  <c r="Z51" i="7"/>
  <c r="Z35" i="7"/>
  <c r="Z27" i="7"/>
  <c r="Z11" i="7"/>
  <c r="Z3" i="7"/>
  <c r="AA140" i="7"/>
  <c r="AA132" i="7"/>
  <c r="AA116" i="7"/>
  <c r="AA108" i="7"/>
  <c r="AA100" i="7"/>
  <c r="AA84" i="7"/>
  <c r="AA76" i="7"/>
  <c r="AA68" i="7"/>
  <c r="AA52" i="7"/>
  <c r="AA44" i="7"/>
  <c r="AA36" i="7"/>
  <c r="AA28" i="7"/>
  <c r="AA20" i="7"/>
  <c r="AA12" i="7"/>
  <c r="AA4" i="7"/>
  <c r="AB60" i="7"/>
  <c r="AB37" i="7"/>
  <c r="AB12" i="7"/>
  <c r="AC61" i="7"/>
  <c r="AC29" i="7"/>
  <c r="AF115" i="7"/>
  <c r="AE115" i="7"/>
  <c r="AD115" i="7"/>
  <c r="AC115" i="7"/>
  <c r="AF83" i="7"/>
  <c r="AE83" i="7"/>
  <c r="AD83" i="7"/>
  <c r="AC83" i="7"/>
  <c r="AB83" i="7"/>
  <c r="AE43" i="7"/>
  <c r="AD43" i="7"/>
  <c r="AC43" i="7"/>
  <c r="AB43" i="7"/>
  <c r="AF19" i="7"/>
  <c r="AE19" i="7"/>
  <c r="AD19" i="7"/>
  <c r="AC19" i="7"/>
  <c r="AB19" i="7"/>
  <c r="AC144" i="7"/>
  <c r="AD144" i="7"/>
  <c r="AC136" i="7"/>
  <c r="AD136" i="7"/>
  <c r="AC128" i="7"/>
  <c r="AD128" i="7"/>
  <c r="AC120" i="7"/>
  <c r="AD120" i="7"/>
  <c r="AC112" i="7"/>
  <c r="AD112" i="7"/>
  <c r="AC104" i="7"/>
  <c r="AD104" i="7"/>
  <c r="AC96" i="7"/>
  <c r="AB96" i="7"/>
  <c r="AD96" i="7"/>
  <c r="AC88" i="7"/>
  <c r="AB88" i="7"/>
  <c r="AD88" i="7"/>
  <c r="AC80" i="7"/>
  <c r="AB80" i="7"/>
  <c r="AD80" i="7"/>
  <c r="AC72" i="7"/>
  <c r="AB72" i="7"/>
  <c r="AD72" i="7"/>
  <c r="AC64" i="7"/>
  <c r="AB64" i="7"/>
  <c r="AD64" i="7"/>
  <c r="AC56" i="7"/>
  <c r="AB56" i="7"/>
  <c r="AD56" i="7"/>
  <c r="AC48" i="7"/>
  <c r="AB48" i="7"/>
  <c r="AD48" i="7"/>
  <c r="AC40" i="7"/>
  <c r="AB40" i="7"/>
  <c r="AD40" i="7"/>
  <c r="AB32" i="7"/>
  <c r="AD32" i="7"/>
  <c r="AC24" i="7"/>
  <c r="AB24" i="7"/>
  <c r="AD24" i="7"/>
  <c r="AC16" i="7"/>
  <c r="AD16" i="7"/>
  <c r="AC8" i="7"/>
  <c r="AB8" i="7"/>
  <c r="AD8" i="7"/>
  <c r="Z146" i="7"/>
  <c r="Z138" i="7"/>
  <c r="Z130" i="7"/>
  <c r="Z122" i="7"/>
  <c r="Z114" i="7"/>
  <c r="Z106" i="7"/>
  <c r="Z98" i="7"/>
  <c r="Z90" i="7"/>
  <c r="Z82" i="7"/>
  <c r="Z66" i="7"/>
  <c r="Z58" i="7"/>
  <c r="Z50" i="7"/>
  <c r="Z42" i="7"/>
  <c r="Z34" i="7"/>
  <c r="Z26" i="7"/>
  <c r="Z18" i="7"/>
  <c r="Z10" i="7"/>
  <c r="AA139" i="7"/>
  <c r="AA123" i="7"/>
  <c r="AA99" i="7"/>
  <c r="AA83" i="7"/>
  <c r="AA59" i="7"/>
  <c r="AA43" i="7"/>
  <c r="AA19" i="7"/>
  <c r="AB140" i="7"/>
  <c r="AB132" i="7"/>
  <c r="AB124" i="7"/>
  <c r="AB116" i="7"/>
  <c r="AB108" i="7"/>
  <c r="AB100" i="7"/>
  <c r="AB77" i="7"/>
  <c r="AB36" i="7"/>
  <c r="AB5" i="7"/>
  <c r="AE120" i="7"/>
  <c r="AE88" i="7"/>
  <c r="AE56" i="7"/>
  <c r="AE24" i="7"/>
  <c r="AF137" i="7"/>
  <c r="AF105" i="7"/>
  <c r="AF73" i="7"/>
  <c r="AF41" i="7"/>
  <c r="AF9" i="7"/>
  <c r="AF147" i="7"/>
  <c r="AE147" i="7"/>
  <c r="AD147" i="7"/>
  <c r="AC147" i="7"/>
  <c r="AF131" i="7"/>
  <c r="AE131" i="7"/>
  <c r="AD131" i="7"/>
  <c r="AC131" i="7"/>
  <c r="AF107" i="7"/>
  <c r="AE107" i="7"/>
  <c r="AD107" i="7"/>
  <c r="AC107" i="7"/>
  <c r="AF91" i="7"/>
  <c r="AE91" i="7"/>
  <c r="AD91" i="7"/>
  <c r="AC91" i="7"/>
  <c r="AB91" i="7"/>
  <c r="AF67" i="7"/>
  <c r="AE67" i="7"/>
  <c r="AD67" i="7"/>
  <c r="AC67" i="7"/>
  <c r="AB67" i="7"/>
  <c r="AF51" i="7"/>
  <c r="AE51" i="7"/>
  <c r="AD51" i="7"/>
  <c r="AC51" i="7"/>
  <c r="AB51" i="7"/>
  <c r="AF35" i="7"/>
  <c r="AE35" i="7"/>
  <c r="AD35" i="7"/>
  <c r="AC35" i="7"/>
  <c r="AB35" i="7"/>
  <c r="AF27" i="7"/>
  <c r="AE27" i="7"/>
  <c r="AD27" i="7"/>
  <c r="AB27" i="7"/>
  <c r="AF11" i="7"/>
  <c r="AE11" i="7"/>
  <c r="AD11" i="7"/>
  <c r="AB11" i="7"/>
  <c r="AF3" i="7"/>
  <c r="AE3" i="7"/>
  <c r="AD3" i="7"/>
  <c r="AC3" i="7"/>
  <c r="AF143" i="7"/>
  <c r="AC143" i="7"/>
  <c r="AF135" i="7"/>
  <c r="AC135" i="7"/>
  <c r="AF127" i="7"/>
  <c r="AC127" i="7"/>
  <c r="AF119" i="7"/>
  <c r="AC119" i="7"/>
  <c r="AF111" i="7"/>
  <c r="AC111" i="7"/>
  <c r="AF103" i="7"/>
  <c r="AC103" i="7"/>
  <c r="AB95" i="7"/>
  <c r="AF95" i="7"/>
  <c r="AC95" i="7"/>
  <c r="AB87" i="7"/>
  <c r="AF87" i="7"/>
  <c r="AC87" i="7"/>
  <c r="AB79" i="7"/>
  <c r="AF79" i="7"/>
  <c r="AC79" i="7"/>
  <c r="AB71" i="7"/>
  <c r="AF71" i="7"/>
  <c r="AC71" i="7"/>
  <c r="AB63" i="7"/>
  <c r="AF63" i="7"/>
  <c r="AC63" i="7"/>
  <c r="AB55" i="7"/>
  <c r="AF55" i="7"/>
  <c r="AC55" i="7"/>
  <c r="AB47" i="7"/>
  <c r="AF47" i="7"/>
  <c r="AB39" i="7"/>
  <c r="AF39" i="7"/>
  <c r="AC39" i="7"/>
  <c r="AF31" i="7"/>
  <c r="AC31" i="7"/>
  <c r="AB23" i="7"/>
  <c r="AF23" i="7"/>
  <c r="AC23" i="7"/>
  <c r="AF15" i="7"/>
  <c r="AC15" i="7"/>
  <c r="AB7" i="7"/>
  <c r="AF7" i="7"/>
  <c r="AC7" i="7"/>
  <c r="Z145" i="7"/>
  <c r="Z137" i="7"/>
  <c r="Z129" i="7"/>
  <c r="Z121" i="7"/>
  <c r="Z113" i="7"/>
  <c r="Z105" i="7"/>
  <c r="Z97" i="7"/>
  <c r="Z89" i="7"/>
  <c r="Z81" i="7"/>
  <c r="Z73" i="7"/>
  <c r="Z65" i="7"/>
  <c r="Z57" i="7"/>
  <c r="Z49" i="7"/>
  <c r="Z41" i="7"/>
  <c r="Z33" i="7"/>
  <c r="Z25" i="7"/>
  <c r="Z17" i="7"/>
  <c r="Z9" i="7"/>
  <c r="AA146" i="7"/>
  <c r="AA138" i="7"/>
  <c r="AA130" i="7"/>
  <c r="AA122" i="7"/>
  <c r="AA114" i="7"/>
  <c r="AA106" i="7"/>
  <c r="AA98" i="7"/>
  <c r="AA90" i="7"/>
  <c r="AA82" i="7"/>
  <c r="AA74" i="7"/>
  <c r="AA66" i="7"/>
  <c r="AA58" i="7"/>
  <c r="AA50" i="7"/>
  <c r="AA42" i="7"/>
  <c r="AA34" i="7"/>
  <c r="AA26" i="7"/>
  <c r="AA18" i="7"/>
  <c r="AA10" i="7"/>
  <c r="AB147" i="7"/>
  <c r="AB139" i="7"/>
  <c r="AB131" i="7"/>
  <c r="AB123" i="7"/>
  <c r="AB115" i="7"/>
  <c r="AB107" i="7"/>
  <c r="AB76" i="7"/>
  <c r="AB53" i="7"/>
  <c r="AC85" i="7"/>
  <c r="AC21" i="7"/>
  <c r="AE119" i="7"/>
  <c r="AE87" i="7"/>
  <c r="AE55" i="7"/>
  <c r="AE23" i="7"/>
  <c r="AF136" i="7"/>
  <c r="AF104" i="7"/>
  <c r="AF72" i="7"/>
  <c r="AF40" i="7"/>
  <c r="AF8" i="7"/>
  <c r="AA2" i="7"/>
  <c r="AB2" i="7"/>
  <c r="AC2" i="7"/>
  <c r="AD2" i="7"/>
  <c r="AE2" i="7"/>
  <c r="O35" i="7"/>
  <c r="O3" i="7"/>
  <c r="P84" i="7"/>
  <c r="P52" i="7"/>
  <c r="O131" i="7"/>
  <c r="P20" i="7"/>
  <c r="O99" i="7"/>
  <c r="T112" i="7"/>
  <c r="O67" i="7"/>
  <c r="U129" i="7"/>
  <c r="Q79" i="7"/>
  <c r="O132" i="7"/>
  <c r="O100" i="7"/>
  <c r="O68" i="7"/>
  <c r="O36" i="7"/>
  <c r="O4" i="7"/>
  <c r="P53" i="7"/>
  <c r="P21" i="7"/>
  <c r="Q80" i="7"/>
  <c r="R109" i="7"/>
  <c r="S96" i="7"/>
  <c r="T113" i="7"/>
  <c r="U130" i="7"/>
  <c r="O124" i="7"/>
  <c r="O92" i="7"/>
  <c r="O60" i="7"/>
  <c r="O28" i="7"/>
  <c r="P109" i="7"/>
  <c r="P77" i="7"/>
  <c r="Q68" i="7"/>
  <c r="R63" i="7"/>
  <c r="S64" i="7"/>
  <c r="T81" i="7"/>
  <c r="U98" i="7"/>
  <c r="R103" i="7"/>
  <c r="O91" i="7"/>
  <c r="O59" i="7"/>
  <c r="O27" i="7"/>
  <c r="P140" i="7"/>
  <c r="P108" i="7"/>
  <c r="P76" i="7"/>
  <c r="P12" i="7"/>
  <c r="Q63" i="7"/>
  <c r="S63" i="7"/>
  <c r="T80" i="7"/>
  <c r="U97" i="7"/>
  <c r="O2" i="7"/>
  <c r="P133" i="7"/>
  <c r="P5" i="7"/>
  <c r="Q28" i="7"/>
  <c r="R39" i="7"/>
  <c r="S32" i="7"/>
  <c r="T49" i="7"/>
  <c r="U66" i="7"/>
  <c r="O147" i="7"/>
  <c r="O115" i="7"/>
  <c r="O83" i="7"/>
  <c r="O51" i="7"/>
  <c r="O19" i="7"/>
  <c r="P4" i="7"/>
  <c r="S144" i="7"/>
  <c r="S31" i="7"/>
  <c r="T48" i="7"/>
  <c r="U65" i="7"/>
  <c r="P61" i="7"/>
  <c r="Q92" i="7"/>
  <c r="S143" i="7"/>
  <c r="T145" i="7"/>
  <c r="T17" i="7"/>
  <c r="U34" i="7"/>
  <c r="S95" i="7"/>
  <c r="O139" i="7"/>
  <c r="O107" i="7"/>
  <c r="O75" i="7"/>
  <c r="O43" i="7"/>
  <c r="O11" i="7"/>
  <c r="Q89" i="7"/>
  <c r="R127" i="7"/>
  <c r="S120" i="7"/>
  <c r="T144" i="7"/>
  <c r="T16" i="7"/>
  <c r="U33" i="7"/>
  <c r="U142" i="7"/>
  <c r="T142" i="7"/>
  <c r="P142" i="7"/>
  <c r="O142" i="7"/>
  <c r="R142" i="7"/>
  <c r="Q142" i="7"/>
  <c r="S142" i="7"/>
  <c r="U134" i="7"/>
  <c r="T134" i="7"/>
  <c r="P134" i="7"/>
  <c r="R134" i="7"/>
  <c r="O134" i="7"/>
  <c r="Q134" i="7"/>
  <c r="U118" i="7"/>
  <c r="T118" i="7"/>
  <c r="U22" i="7"/>
  <c r="T22" i="7"/>
  <c r="S22" i="7"/>
  <c r="U101" i="7"/>
  <c r="T101" i="7"/>
  <c r="U37" i="7"/>
  <c r="T37" i="7"/>
  <c r="S37" i="7"/>
  <c r="U140" i="7"/>
  <c r="T140" i="7"/>
  <c r="S140" i="7"/>
  <c r="R140" i="7"/>
  <c r="U132" i="7"/>
  <c r="T132" i="7"/>
  <c r="S132" i="7"/>
  <c r="R132" i="7"/>
  <c r="U124" i="7"/>
  <c r="T124" i="7"/>
  <c r="S124" i="7"/>
  <c r="R124" i="7"/>
  <c r="U116" i="7"/>
  <c r="T116" i="7"/>
  <c r="S116" i="7"/>
  <c r="R116" i="7"/>
  <c r="U108" i="7"/>
  <c r="T108" i="7"/>
  <c r="S108" i="7"/>
  <c r="R108" i="7"/>
  <c r="U100" i="7"/>
  <c r="T100" i="7"/>
  <c r="S100" i="7"/>
  <c r="R100" i="7"/>
  <c r="U92" i="7"/>
  <c r="T92" i="7"/>
  <c r="S92" i="7"/>
  <c r="R92" i="7"/>
  <c r="U84" i="7"/>
  <c r="T84" i="7"/>
  <c r="S84" i="7"/>
  <c r="R84" i="7"/>
  <c r="U76" i="7"/>
  <c r="T76" i="7"/>
  <c r="S76" i="7"/>
  <c r="R76" i="7"/>
  <c r="U68" i="7"/>
  <c r="T68" i="7"/>
  <c r="S68" i="7"/>
  <c r="R68" i="7"/>
  <c r="U60" i="7"/>
  <c r="T60" i="7"/>
  <c r="S60" i="7"/>
  <c r="R60" i="7"/>
  <c r="U52" i="7"/>
  <c r="T52" i="7"/>
  <c r="S52" i="7"/>
  <c r="R52" i="7"/>
  <c r="U44" i="7"/>
  <c r="T44" i="7"/>
  <c r="S44" i="7"/>
  <c r="R44" i="7"/>
  <c r="U36" i="7"/>
  <c r="T36" i="7"/>
  <c r="S36" i="7"/>
  <c r="R36" i="7"/>
  <c r="U28" i="7"/>
  <c r="T28" i="7"/>
  <c r="S28" i="7"/>
  <c r="R28" i="7"/>
  <c r="U20" i="7"/>
  <c r="T20" i="7"/>
  <c r="S20" i="7"/>
  <c r="R20" i="7"/>
  <c r="U12" i="7"/>
  <c r="T12" i="7"/>
  <c r="S12" i="7"/>
  <c r="R12" i="7"/>
  <c r="U4" i="7"/>
  <c r="T4" i="7"/>
  <c r="S4" i="7"/>
  <c r="R4" i="7"/>
  <c r="P2" i="7"/>
  <c r="O146" i="7"/>
  <c r="O138" i="7"/>
  <c r="O130" i="7"/>
  <c r="O122" i="7"/>
  <c r="O114" i="7"/>
  <c r="O106" i="7"/>
  <c r="O98" i="7"/>
  <c r="O90" i="7"/>
  <c r="O82" i="7"/>
  <c r="O74" i="7"/>
  <c r="O66" i="7"/>
  <c r="O58" i="7"/>
  <c r="O50" i="7"/>
  <c r="O42" i="7"/>
  <c r="O34" i="7"/>
  <c r="O26" i="7"/>
  <c r="O18" i="7"/>
  <c r="O10" i="7"/>
  <c r="Q140" i="7"/>
  <c r="Q132" i="7"/>
  <c r="Q124" i="7"/>
  <c r="Q116" i="7"/>
  <c r="Q108" i="7"/>
  <c r="Q100" i="7"/>
  <c r="Q78" i="7"/>
  <c r="Q44" i="7"/>
  <c r="Q21" i="7"/>
  <c r="R143" i="7"/>
  <c r="R79" i="7"/>
  <c r="R38" i="7"/>
  <c r="R15" i="7"/>
  <c r="S119" i="7"/>
  <c r="S88" i="7"/>
  <c r="S56" i="7"/>
  <c r="S24" i="7"/>
  <c r="T137" i="7"/>
  <c r="T105" i="7"/>
  <c r="T73" i="7"/>
  <c r="T41" i="7"/>
  <c r="T9" i="7"/>
  <c r="U122" i="7"/>
  <c r="U90" i="7"/>
  <c r="U58" i="7"/>
  <c r="U26" i="7"/>
  <c r="U126" i="7"/>
  <c r="T126" i="7"/>
  <c r="U102" i="7"/>
  <c r="T102" i="7"/>
  <c r="S102" i="7"/>
  <c r="U70" i="7"/>
  <c r="T70" i="7"/>
  <c r="S70" i="7"/>
  <c r="U46" i="7"/>
  <c r="T46" i="7"/>
  <c r="S46" i="7"/>
  <c r="U6" i="7"/>
  <c r="T6" i="7"/>
  <c r="S6" i="7"/>
  <c r="S126" i="7"/>
  <c r="U141" i="7"/>
  <c r="T141" i="7"/>
  <c r="S141" i="7"/>
  <c r="U117" i="7"/>
  <c r="T117" i="7"/>
  <c r="S117" i="7"/>
  <c r="U85" i="7"/>
  <c r="T85" i="7"/>
  <c r="S85" i="7"/>
  <c r="U61" i="7"/>
  <c r="T61" i="7"/>
  <c r="S61" i="7"/>
  <c r="U29" i="7"/>
  <c r="T29" i="7"/>
  <c r="S29" i="7"/>
  <c r="U5" i="7"/>
  <c r="T5" i="7"/>
  <c r="S5" i="7"/>
  <c r="Q22" i="7"/>
  <c r="R85" i="7"/>
  <c r="U147" i="7"/>
  <c r="T147" i="7"/>
  <c r="S147" i="7"/>
  <c r="R147" i="7"/>
  <c r="U139" i="7"/>
  <c r="T139" i="7"/>
  <c r="S139" i="7"/>
  <c r="U131" i="7"/>
  <c r="T131" i="7"/>
  <c r="S131" i="7"/>
  <c r="R131" i="7"/>
  <c r="U123" i="7"/>
  <c r="T123" i="7"/>
  <c r="S123" i="7"/>
  <c r="R123" i="7"/>
  <c r="U115" i="7"/>
  <c r="T115" i="7"/>
  <c r="S115" i="7"/>
  <c r="R115" i="7"/>
  <c r="U107" i="7"/>
  <c r="T107" i="7"/>
  <c r="S107" i="7"/>
  <c r="R107" i="7"/>
  <c r="U99" i="7"/>
  <c r="T99" i="7"/>
  <c r="S99" i="7"/>
  <c r="R99" i="7"/>
  <c r="Q99" i="7"/>
  <c r="U91" i="7"/>
  <c r="T91" i="7"/>
  <c r="S91" i="7"/>
  <c r="R91" i="7"/>
  <c r="Q91" i="7"/>
  <c r="U83" i="7"/>
  <c r="T83" i="7"/>
  <c r="S83" i="7"/>
  <c r="R83" i="7"/>
  <c r="Q83" i="7"/>
  <c r="U75" i="7"/>
  <c r="T75" i="7"/>
  <c r="S75" i="7"/>
  <c r="R75" i="7"/>
  <c r="Q75" i="7"/>
  <c r="U67" i="7"/>
  <c r="T67" i="7"/>
  <c r="S67" i="7"/>
  <c r="R67" i="7"/>
  <c r="Q67" i="7"/>
  <c r="U59" i="7"/>
  <c r="T59" i="7"/>
  <c r="R59" i="7"/>
  <c r="Q59" i="7"/>
  <c r="U51" i="7"/>
  <c r="T51" i="7"/>
  <c r="S51" i="7"/>
  <c r="R51" i="7"/>
  <c r="Q51" i="7"/>
  <c r="U43" i="7"/>
  <c r="T43" i="7"/>
  <c r="S43" i="7"/>
  <c r="R43" i="7"/>
  <c r="Q43" i="7"/>
  <c r="U35" i="7"/>
  <c r="T35" i="7"/>
  <c r="S35" i="7"/>
  <c r="R35" i="7"/>
  <c r="Q35" i="7"/>
  <c r="U27" i="7"/>
  <c r="T27" i="7"/>
  <c r="S27" i="7"/>
  <c r="R27" i="7"/>
  <c r="Q27" i="7"/>
  <c r="U19" i="7"/>
  <c r="T19" i="7"/>
  <c r="S19" i="7"/>
  <c r="R19" i="7"/>
  <c r="Q19" i="7"/>
  <c r="U11" i="7"/>
  <c r="T11" i="7"/>
  <c r="S11" i="7"/>
  <c r="R11" i="7"/>
  <c r="Q11" i="7"/>
  <c r="U3" i="7"/>
  <c r="T3" i="7"/>
  <c r="S3" i="7"/>
  <c r="R3" i="7"/>
  <c r="Q3" i="7"/>
  <c r="Q2" i="7"/>
  <c r="O145" i="7"/>
  <c r="O137" i="7"/>
  <c r="O129" i="7"/>
  <c r="O121" i="7"/>
  <c r="O113" i="7"/>
  <c r="O105" i="7"/>
  <c r="O97" i="7"/>
  <c r="O89" i="7"/>
  <c r="O81" i="7"/>
  <c r="O73" i="7"/>
  <c r="O65" i="7"/>
  <c r="O57" i="7"/>
  <c r="O49" i="7"/>
  <c r="O41" i="7"/>
  <c r="O33" i="7"/>
  <c r="O25" i="7"/>
  <c r="O17" i="7"/>
  <c r="O9" i="7"/>
  <c r="Q147" i="7"/>
  <c r="Q139" i="7"/>
  <c r="Q131" i="7"/>
  <c r="Q123" i="7"/>
  <c r="Q115" i="7"/>
  <c r="Q107" i="7"/>
  <c r="Q97" i="7"/>
  <c r="Q87" i="7"/>
  <c r="Q77" i="7"/>
  <c r="Q61" i="7"/>
  <c r="Q20" i="7"/>
  <c r="R119" i="7"/>
  <c r="R101" i="7"/>
  <c r="R78" i="7"/>
  <c r="R55" i="7"/>
  <c r="R14" i="7"/>
  <c r="S136" i="7"/>
  <c r="S118" i="7"/>
  <c r="S87" i="7"/>
  <c r="S55" i="7"/>
  <c r="S23" i="7"/>
  <c r="T136" i="7"/>
  <c r="T104" i="7"/>
  <c r="T72" i="7"/>
  <c r="T40" i="7"/>
  <c r="T8" i="7"/>
  <c r="U121" i="7"/>
  <c r="U89" i="7"/>
  <c r="U57" i="7"/>
  <c r="U25" i="7"/>
  <c r="Q110" i="7"/>
  <c r="U133" i="7"/>
  <c r="T133" i="7"/>
  <c r="S133" i="7"/>
  <c r="U93" i="7"/>
  <c r="T93" i="7"/>
  <c r="S93" i="7"/>
  <c r="U69" i="7"/>
  <c r="T69" i="7"/>
  <c r="S69" i="7"/>
  <c r="U45" i="7"/>
  <c r="T45" i="7"/>
  <c r="S45" i="7"/>
  <c r="U13" i="7"/>
  <c r="T13" i="7"/>
  <c r="S13" i="7"/>
  <c r="Q117" i="7"/>
  <c r="Q45" i="7"/>
  <c r="R126" i="7"/>
  <c r="T146" i="7"/>
  <c r="S146" i="7"/>
  <c r="R146" i="7"/>
  <c r="T138" i="7"/>
  <c r="S138" i="7"/>
  <c r="R138" i="7"/>
  <c r="T130" i="7"/>
  <c r="S130" i="7"/>
  <c r="R130" i="7"/>
  <c r="T122" i="7"/>
  <c r="S122" i="7"/>
  <c r="R122" i="7"/>
  <c r="T114" i="7"/>
  <c r="R114" i="7"/>
  <c r="T106" i="7"/>
  <c r="S106" i="7"/>
  <c r="R106" i="7"/>
  <c r="T98" i="7"/>
  <c r="S98" i="7"/>
  <c r="R98" i="7"/>
  <c r="Q98" i="7"/>
  <c r="T90" i="7"/>
  <c r="S90" i="7"/>
  <c r="R90" i="7"/>
  <c r="Q90" i="7"/>
  <c r="T82" i="7"/>
  <c r="S82" i="7"/>
  <c r="R82" i="7"/>
  <c r="Q82" i="7"/>
  <c r="T74" i="7"/>
  <c r="S74" i="7"/>
  <c r="R74" i="7"/>
  <c r="Q74" i="7"/>
  <c r="T66" i="7"/>
  <c r="S66" i="7"/>
  <c r="R66" i="7"/>
  <c r="Q66" i="7"/>
  <c r="T58" i="7"/>
  <c r="S58" i="7"/>
  <c r="R58" i="7"/>
  <c r="Q58" i="7"/>
  <c r="T50" i="7"/>
  <c r="S50" i="7"/>
  <c r="R50" i="7"/>
  <c r="Q50" i="7"/>
  <c r="T42" i="7"/>
  <c r="S42" i="7"/>
  <c r="R42" i="7"/>
  <c r="Q42" i="7"/>
  <c r="T34" i="7"/>
  <c r="S34" i="7"/>
  <c r="R34" i="7"/>
  <c r="Q34" i="7"/>
  <c r="T26" i="7"/>
  <c r="S26" i="7"/>
  <c r="R26" i="7"/>
  <c r="Q26" i="7"/>
  <c r="T18" i="7"/>
  <c r="S18" i="7"/>
  <c r="R18" i="7"/>
  <c r="Q18" i="7"/>
  <c r="T10" i="7"/>
  <c r="S10" i="7"/>
  <c r="R10" i="7"/>
  <c r="Q10" i="7"/>
  <c r="R2" i="7"/>
  <c r="O144" i="7"/>
  <c r="O136" i="7"/>
  <c r="O128" i="7"/>
  <c r="O120" i="7"/>
  <c r="O112" i="7"/>
  <c r="O104" i="7"/>
  <c r="O96" i="7"/>
  <c r="O88" i="7"/>
  <c r="O80" i="7"/>
  <c r="O72" i="7"/>
  <c r="O64" i="7"/>
  <c r="O56" i="7"/>
  <c r="O48" i="7"/>
  <c r="O40" i="7"/>
  <c r="O32" i="7"/>
  <c r="O24" i="7"/>
  <c r="O16" i="7"/>
  <c r="O8" i="7"/>
  <c r="P129" i="7"/>
  <c r="P97" i="7"/>
  <c r="P65" i="7"/>
  <c r="P33" i="7"/>
  <c r="Q146" i="7"/>
  <c r="Q138" i="7"/>
  <c r="Q130" i="7"/>
  <c r="Q122" i="7"/>
  <c r="Q114" i="7"/>
  <c r="Q106" i="7"/>
  <c r="Q96" i="7"/>
  <c r="Q76" i="7"/>
  <c r="Q60" i="7"/>
  <c r="Q37" i="7"/>
  <c r="R141" i="7"/>
  <c r="R118" i="7"/>
  <c r="R95" i="7"/>
  <c r="R54" i="7"/>
  <c r="R31" i="7"/>
  <c r="R13" i="7"/>
  <c r="S135" i="7"/>
  <c r="S112" i="7"/>
  <c r="S80" i="7"/>
  <c r="S48" i="7"/>
  <c r="S16" i="7"/>
  <c r="U146" i="7"/>
  <c r="U114" i="7"/>
  <c r="U82" i="7"/>
  <c r="U50" i="7"/>
  <c r="U18" i="7"/>
  <c r="U94" i="7"/>
  <c r="T94" i="7"/>
  <c r="S94" i="7"/>
  <c r="U62" i="7"/>
  <c r="T62" i="7"/>
  <c r="S62" i="7"/>
  <c r="U14" i="7"/>
  <c r="T14" i="7"/>
  <c r="S14" i="7"/>
  <c r="Q118" i="7"/>
  <c r="Q46" i="7"/>
  <c r="R22" i="7"/>
  <c r="U125" i="7"/>
  <c r="T125" i="7"/>
  <c r="S125" i="7"/>
  <c r="Q141" i="7"/>
  <c r="S145" i="7"/>
  <c r="R145" i="7"/>
  <c r="S137" i="7"/>
  <c r="R137" i="7"/>
  <c r="S129" i="7"/>
  <c r="R129" i="7"/>
  <c r="S121" i="7"/>
  <c r="R121" i="7"/>
  <c r="S113" i="7"/>
  <c r="R113" i="7"/>
  <c r="S105" i="7"/>
  <c r="R105" i="7"/>
  <c r="S97" i="7"/>
  <c r="R97" i="7"/>
  <c r="S89" i="7"/>
  <c r="R89" i="7"/>
  <c r="S81" i="7"/>
  <c r="R81" i="7"/>
  <c r="S73" i="7"/>
  <c r="R73" i="7"/>
  <c r="Q73" i="7"/>
  <c r="S65" i="7"/>
  <c r="R65" i="7"/>
  <c r="Q65" i="7"/>
  <c r="S57" i="7"/>
  <c r="R57" i="7"/>
  <c r="Q57" i="7"/>
  <c r="S49" i="7"/>
  <c r="R49" i="7"/>
  <c r="Q49" i="7"/>
  <c r="S41" i="7"/>
  <c r="R41" i="7"/>
  <c r="Q41" i="7"/>
  <c r="S33" i="7"/>
  <c r="R33" i="7"/>
  <c r="Q33" i="7"/>
  <c r="S25" i="7"/>
  <c r="R25" i="7"/>
  <c r="Q25" i="7"/>
  <c r="S17" i="7"/>
  <c r="R17" i="7"/>
  <c r="Q17" i="7"/>
  <c r="S9" i="7"/>
  <c r="R9" i="7"/>
  <c r="Q9" i="7"/>
  <c r="S2" i="7"/>
  <c r="O143" i="7"/>
  <c r="O135" i="7"/>
  <c r="O127" i="7"/>
  <c r="O119" i="7"/>
  <c r="O111" i="7"/>
  <c r="O103" i="7"/>
  <c r="O95" i="7"/>
  <c r="O63" i="7"/>
  <c r="O55" i="7"/>
  <c r="O47" i="7"/>
  <c r="O39" i="7"/>
  <c r="O31" i="7"/>
  <c r="O23" i="7"/>
  <c r="O15" i="7"/>
  <c r="O7" i="7"/>
  <c r="P128" i="7"/>
  <c r="P96" i="7"/>
  <c r="P64" i="7"/>
  <c r="P32" i="7"/>
  <c r="Q145" i="7"/>
  <c r="Q137" i="7"/>
  <c r="Q129" i="7"/>
  <c r="Q113" i="7"/>
  <c r="Q105" i="7"/>
  <c r="Q95" i="7"/>
  <c r="Q85" i="7"/>
  <c r="Q71" i="7"/>
  <c r="Q54" i="7"/>
  <c r="Q36" i="7"/>
  <c r="Q13" i="7"/>
  <c r="R135" i="7"/>
  <c r="R117" i="7"/>
  <c r="R94" i="7"/>
  <c r="R71" i="7"/>
  <c r="R53" i="7"/>
  <c r="R30" i="7"/>
  <c r="R7" i="7"/>
  <c r="S111" i="7"/>
  <c r="S79" i="7"/>
  <c r="S47" i="7"/>
  <c r="S15" i="7"/>
  <c r="U145" i="7"/>
  <c r="U113" i="7"/>
  <c r="U81" i="7"/>
  <c r="U49" i="7"/>
  <c r="U17" i="7"/>
  <c r="U86" i="7"/>
  <c r="T86" i="7"/>
  <c r="S86" i="7"/>
  <c r="U38" i="7"/>
  <c r="T38" i="7"/>
  <c r="S38" i="7"/>
  <c r="R144" i="7"/>
  <c r="U144" i="7"/>
  <c r="R136" i="7"/>
  <c r="U136" i="7"/>
  <c r="R128" i="7"/>
  <c r="U128" i="7"/>
  <c r="R120" i="7"/>
  <c r="U120" i="7"/>
  <c r="R112" i="7"/>
  <c r="U112" i="7"/>
  <c r="R104" i="7"/>
  <c r="U104" i="7"/>
  <c r="R96" i="7"/>
  <c r="U96" i="7"/>
  <c r="R88" i="7"/>
  <c r="U88" i="7"/>
  <c r="R80" i="7"/>
  <c r="U80" i="7"/>
  <c r="R72" i="7"/>
  <c r="Q72" i="7"/>
  <c r="U72" i="7"/>
  <c r="R64" i="7"/>
  <c r="Q64" i="7"/>
  <c r="R56" i="7"/>
  <c r="Q56" i="7"/>
  <c r="R48" i="7"/>
  <c r="Q48" i="7"/>
  <c r="U48" i="7"/>
  <c r="R40" i="7"/>
  <c r="Q40" i="7"/>
  <c r="U40" i="7"/>
  <c r="R32" i="7"/>
  <c r="Q32" i="7"/>
  <c r="U32" i="7"/>
  <c r="R24" i="7"/>
  <c r="Q24" i="7"/>
  <c r="R16" i="7"/>
  <c r="Q16" i="7"/>
  <c r="U16" i="7"/>
  <c r="R8" i="7"/>
  <c r="Q8" i="7"/>
  <c r="U8" i="7"/>
  <c r="T2" i="7"/>
  <c r="O126" i="7"/>
  <c r="O118" i="7"/>
  <c r="O102" i="7"/>
  <c r="O94" i="7"/>
  <c r="O86" i="7"/>
  <c r="O70" i="7"/>
  <c r="O62" i="7"/>
  <c r="O46" i="7"/>
  <c r="O38" i="7"/>
  <c r="O30" i="7"/>
  <c r="O22" i="7"/>
  <c r="O14" i="7"/>
  <c r="O6" i="7"/>
  <c r="P111" i="7"/>
  <c r="P47" i="7"/>
  <c r="Q144" i="7"/>
  <c r="Q136" i="7"/>
  <c r="Q128" i="7"/>
  <c r="Q120" i="7"/>
  <c r="Q112" i="7"/>
  <c r="Q104" i="7"/>
  <c r="Q94" i="7"/>
  <c r="Q84" i="7"/>
  <c r="Q70" i="7"/>
  <c r="Q12" i="7"/>
  <c r="R93" i="7"/>
  <c r="R70" i="7"/>
  <c r="R29" i="7"/>
  <c r="R6" i="7"/>
  <c r="S128" i="7"/>
  <c r="S104" i="7"/>
  <c r="S72" i="7"/>
  <c r="S40" i="7"/>
  <c r="S8" i="7"/>
  <c r="T121" i="7"/>
  <c r="T89" i="7"/>
  <c r="T57" i="7"/>
  <c r="T25" i="7"/>
  <c r="U138" i="7"/>
  <c r="U106" i="7"/>
  <c r="U74" i="7"/>
  <c r="U42" i="7"/>
  <c r="U10" i="7"/>
  <c r="U110" i="7"/>
  <c r="T110" i="7"/>
  <c r="S110" i="7"/>
  <c r="U78" i="7"/>
  <c r="T78" i="7"/>
  <c r="S78" i="7"/>
  <c r="U54" i="7"/>
  <c r="T54" i="7"/>
  <c r="S54" i="7"/>
  <c r="U30" i="7"/>
  <c r="T30" i="7"/>
  <c r="S30" i="7"/>
  <c r="Q126" i="7"/>
  <c r="Q102" i="7"/>
  <c r="R86" i="7"/>
  <c r="U109" i="7"/>
  <c r="T109" i="7"/>
  <c r="S109" i="7"/>
  <c r="U77" i="7"/>
  <c r="T77" i="7"/>
  <c r="U53" i="7"/>
  <c r="T53" i="7"/>
  <c r="S53" i="7"/>
  <c r="U21" i="7"/>
  <c r="T21" i="7"/>
  <c r="S21" i="7"/>
  <c r="Q125" i="7"/>
  <c r="Q101" i="7"/>
  <c r="R62" i="7"/>
  <c r="U143" i="7"/>
  <c r="T143" i="7"/>
  <c r="U135" i="7"/>
  <c r="T135" i="7"/>
  <c r="U127" i="7"/>
  <c r="T127" i="7"/>
  <c r="U119" i="7"/>
  <c r="T119" i="7"/>
  <c r="U111" i="7"/>
  <c r="T111" i="7"/>
  <c r="U103" i="7"/>
  <c r="T103" i="7"/>
  <c r="T95" i="7"/>
  <c r="U87" i="7"/>
  <c r="T87" i="7"/>
  <c r="U79" i="7"/>
  <c r="T79" i="7"/>
  <c r="U71" i="7"/>
  <c r="T71" i="7"/>
  <c r="U63" i="7"/>
  <c r="T63" i="7"/>
  <c r="Q55" i="7"/>
  <c r="U55" i="7"/>
  <c r="T55" i="7"/>
  <c r="Q47" i="7"/>
  <c r="U47" i="7"/>
  <c r="T47" i="7"/>
  <c r="Q39" i="7"/>
  <c r="U39" i="7"/>
  <c r="T39" i="7"/>
  <c r="Q31" i="7"/>
  <c r="U31" i="7"/>
  <c r="T31" i="7"/>
  <c r="Q23" i="7"/>
  <c r="U23" i="7"/>
  <c r="T23" i="7"/>
  <c r="Q15" i="7"/>
  <c r="U15" i="7"/>
  <c r="T15" i="7"/>
  <c r="Q7" i="7"/>
  <c r="U7" i="7"/>
  <c r="T7" i="7"/>
  <c r="O141" i="7"/>
  <c r="O133" i="7"/>
  <c r="O125" i="7"/>
  <c r="O117" i="7"/>
  <c r="O109" i="7"/>
  <c r="O101" i="7"/>
  <c r="O93" i="7"/>
  <c r="O85" i="7"/>
  <c r="O77" i="7"/>
  <c r="O69" i="7"/>
  <c r="O61" i="7"/>
  <c r="O53" i="7"/>
  <c r="O45" i="7"/>
  <c r="O37" i="7"/>
  <c r="O29" i="7"/>
  <c r="O21" i="7"/>
  <c r="O13" i="7"/>
  <c r="O5" i="7"/>
  <c r="P126" i="7"/>
  <c r="P110" i="7"/>
  <c r="P102" i="7"/>
  <c r="P86" i="7"/>
  <c r="P78" i="7"/>
  <c r="P70" i="7"/>
  <c r="P62" i="7"/>
  <c r="P54" i="7"/>
  <c r="P46" i="7"/>
  <c r="P38" i="7"/>
  <c r="P30" i="7"/>
  <c r="P22" i="7"/>
  <c r="P14" i="7"/>
  <c r="P6" i="7"/>
  <c r="Q143" i="7"/>
  <c r="Q135" i="7"/>
  <c r="Q127" i="7"/>
  <c r="Q119" i="7"/>
  <c r="Q111" i="7"/>
  <c r="Q103" i="7"/>
  <c r="Q93" i="7"/>
  <c r="Q81" i="7"/>
  <c r="Q69" i="7"/>
  <c r="Q52" i="7"/>
  <c r="Q29" i="7"/>
  <c r="Q6" i="7"/>
  <c r="R133" i="7"/>
  <c r="R110" i="7"/>
  <c r="R87" i="7"/>
  <c r="R69" i="7"/>
  <c r="R46" i="7"/>
  <c r="R23" i="7"/>
  <c r="R5" i="7"/>
  <c r="S127" i="7"/>
  <c r="S103" i="7"/>
  <c r="S71" i="7"/>
  <c r="S39" i="7"/>
  <c r="S7" i="7"/>
  <c r="T120" i="7"/>
  <c r="T88" i="7"/>
  <c r="T56" i="7"/>
  <c r="T24" i="7"/>
  <c r="U137" i="7"/>
  <c r="U105" i="7"/>
  <c r="U73" i="7"/>
  <c r="U41" i="7"/>
  <c r="U9" i="7"/>
  <c r="J20" i="7"/>
  <c r="J84" i="7"/>
  <c r="D119" i="7"/>
  <c r="J28" i="7"/>
  <c r="J92" i="7"/>
  <c r="D55" i="7"/>
  <c r="J36" i="7"/>
  <c r="J100" i="7"/>
  <c r="J108" i="7"/>
  <c r="G70" i="7"/>
  <c r="J52" i="7"/>
  <c r="J116" i="7"/>
  <c r="J44" i="7"/>
  <c r="H62" i="7"/>
  <c r="J60" i="7"/>
  <c r="J124" i="7"/>
  <c r="F52" i="7"/>
  <c r="J4" i="7"/>
  <c r="J68" i="7"/>
  <c r="J132" i="7"/>
  <c r="J12" i="7"/>
  <c r="J76" i="7"/>
  <c r="J140" i="7"/>
  <c r="D111" i="7"/>
  <c r="D47" i="7"/>
  <c r="F131" i="7"/>
  <c r="F36" i="7"/>
  <c r="G54" i="7"/>
  <c r="H30" i="7"/>
  <c r="J5" i="7"/>
  <c r="J13" i="7"/>
  <c r="J21" i="7"/>
  <c r="J29" i="7"/>
  <c r="J37" i="7"/>
  <c r="J45" i="7"/>
  <c r="J53" i="7"/>
  <c r="J61" i="7"/>
  <c r="J69" i="7"/>
  <c r="J77" i="7"/>
  <c r="J85" i="7"/>
  <c r="J93" i="7"/>
  <c r="J101" i="7"/>
  <c r="J109" i="7"/>
  <c r="J117" i="7"/>
  <c r="J125" i="7"/>
  <c r="J133" i="7"/>
  <c r="J141" i="7"/>
  <c r="D103" i="7"/>
  <c r="D39" i="7"/>
  <c r="F123" i="7"/>
  <c r="G38" i="7"/>
  <c r="I144" i="7"/>
  <c r="J6" i="7"/>
  <c r="J14" i="7"/>
  <c r="J22" i="7"/>
  <c r="J30" i="7"/>
  <c r="J38" i="7"/>
  <c r="J46" i="7"/>
  <c r="J54" i="7"/>
  <c r="J62" i="7"/>
  <c r="J70" i="7"/>
  <c r="J78" i="7"/>
  <c r="J86" i="7"/>
  <c r="J94" i="7"/>
  <c r="J102" i="7"/>
  <c r="J110" i="7"/>
  <c r="J118" i="7"/>
  <c r="J126" i="7"/>
  <c r="J134" i="7"/>
  <c r="J142" i="7"/>
  <c r="D95" i="7"/>
  <c r="D31" i="7"/>
  <c r="F115" i="7"/>
  <c r="F4" i="7"/>
  <c r="G22" i="7"/>
  <c r="I112" i="7"/>
  <c r="J7" i="7"/>
  <c r="J15" i="7"/>
  <c r="J47" i="7"/>
  <c r="J71" i="7"/>
  <c r="J79" i="7"/>
  <c r="J87" i="7"/>
  <c r="J111" i="7"/>
  <c r="J119" i="7"/>
  <c r="J127" i="7"/>
  <c r="J135" i="7"/>
  <c r="J143" i="7"/>
  <c r="F107" i="7"/>
  <c r="G134" i="7"/>
  <c r="G6" i="7"/>
  <c r="I80" i="7"/>
  <c r="J16" i="7"/>
  <c r="J48" i="7"/>
  <c r="J120" i="7"/>
  <c r="J136" i="7"/>
  <c r="F139" i="7"/>
  <c r="D143" i="7"/>
  <c r="D79" i="7"/>
  <c r="D15" i="7"/>
  <c r="F99" i="7"/>
  <c r="G118" i="7"/>
  <c r="J17" i="7"/>
  <c r="J49" i="7"/>
  <c r="J97" i="7"/>
  <c r="J105" i="7"/>
  <c r="J121" i="7"/>
  <c r="J129" i="7"/>
  <c r="D135" i="7"/>
  <c r="G102" i="7"/>
  <c r="J18" i="7"/>
  <c r="J26" i="7"/>
  <c r="J34" i="7"/>
  <c r="J50" i="7"/>
  <c r="J58" i="7"/>
  <c r="J66" i="7"/>
  <c r="J82" i="7"/>
  <c r="J90" i="7"/>
  <c r="J98" i="7"/>
  <c r="J114" i="7"/>
  <c r="J122" i="7"/>
  <c r="J130" i="7"/>
  <c r="J146" i="7"/>
  <c r="F147" i="7"/>
  <c r="F68" i="7"/>
  <c r="G86" i="7"/>
  <c r="H94" i="7"/>
  <c r="J3" i="7"/>
  <c r="J11" i="7"/>
  <c r="J27" i="7"/>
  <c r="J35" i="7"/>
  <c r="J43" i="7"/>
  <c r="J51" i="7"/>
  <c r="J59" i="7"/>
  <c r="J67" i="7"/>
  <c r="J75" i="7"/>
  <c r="J83" i="7"/>
  <c r="J91" i="7"/>
  <c r="J99" i="7"/>
  <c r="J107" i="7"/>
  <c r="J115" i="7"/>
  <c r="J123" i="7"/>
  <c r="J131" i="7"/>
  <c r="J139" i="7"/>
  <c r="J147" i="7"/>
  <c r="I145" i="7"/>
  <c r="H145" i="7"/>
  <c r="G145" i="7"/>
  <c r="I113" i="7"/>
  <c r="G113" i="7"/>
  <c r="I73" i="7"/>
  <c r="H73" i="7"/>
  <c r="G73" i="7"/>
  <c r="I41" i="7"/>
  <c r="H41" i="7"/>
  <c r="G41" i="7"/>
  <c r="E105" i="7"/>
  <c r="G144" i="7"/>
  <c r="G136" i="7"/>
  <c r="G128" i="7"/>
  <c r="G120" i="7"/>
  <c r="H112" i="7"/>
  <c r="G112" i="7"/>
  <c r="H104" i="7"/>
  <c r="G104" i="7"/>
  <c r="H96" i="7"/>
  <c r="G96" i="7"/>
  <c r="F96" i="7"/>
  <c r="H88" i="7"/>
  <c r="G88" i="7"/>
  <c r="F88" i="7"/>
  <c r="H80" i="7"/>
  <c r="G80" i="7"/>
  <c r="F80" i="7"/>
  <c r="H72" i="7"/>
  <c r="G72" i="7"/>
  <c r="F72" i="7"/>
  <c r="H64" i="7"/>
  <c r="G64" i="7"/>
  <c r="F64" i="7"/>
  <c r="H56" i="7"/>
  <c r="G56" i="7"/>
  <c r="F56" i="7"/>
  <c r="H48" i="7"/>
  <c r="G48" i="7"/>
  <c r="F48" i="7"/>
  <c r="H40" i="7"/>
  <c r="G40" i="7"/>
  <c r="F40" i="7"/>
  <c r="H32" i="7"/>
  <c r="G32" i="7"/>
  <c r="F32" i="7"/>
  <c r="H24" i="7"/>
  <c r="G24" i="7"/>
  <c r="F24" i="7"/>
  <c r="H16" i="7"/>
  <c r="G16" i="7"/>
  <c r="F16" i="7"/>
  <c r="H8" i="7"/>
  <c r="G8" i="7"/>
  <c r="F8" i="7"/>
  <c r="D134" i="7"/>
  <c r="D118" i="7"/>
  <c r="D86" i="7"/>
  <c r="D54" i="7"/>
  <c r="D22" i="7"/>
  <c r="E144" i="7"/>
  <c r="E136" i="7"/>
  <c r="E128" i="7"/>
  <c r="E120" i="7"/>
  <c r="E112" i="7"/>
  <c r="E104" i="7"/>
  <c r="E96" i="7"/>
  <c r="E88" i="7"/>
  <c r="E80" i="7"/>
  <c r="E72" i="7"/>
  <c r="E64" i="7"/>
  <c r="E56" i="7"/>
  <c r="E48" i="7"/>
  <c r="E40" i="7"/>
  <c r="E32" i="7"/>
  <c r="E24" i="7"/>
  <c r="E16" i="7"/>
  <c r="E8" i="7"/>
  <c r="F146" i="7"/>
  <c r="F138" i="7"/>
  <c r="F130" i="7"/>
  <c r="F122" i="7"/>
  <c r="F114" i="7"/>
  <c r="F106" i="7"/>
  <c r="F98" i="7"/>
  <c r="F83" i="7"/>
  <c r="F67" i="7"/>
  <c r="F51" i="7"/>
  <c r="F35" i="7"/>
  <c r="F19" i="7"/>
  <c r="F3" i="7"/>
  <c r="G133" i="7"/>
  <c r="G117" i="7"/>
  <c r="G101" i="7"/>
  <c r="G85" i="7"/>
  <c r="G69" i="7"/>
  <c r="G53" i="7"/>
  <c r="G37" i="7"/>
  <c r="G21" i="7"/>
  <c r="G5" i="7"/>
  <c r="H93" i="7"/>
  <c r="H61" i="7"/>
  <c r="H29" i="7"/>
  <c r="I137" i="7"/>
  <c r="H137" i="7"/>
  <c r="G137" i="7"/>
  <c r="I81" i="7"/>
  <c r="H81" i="7"/>
  <c r="G81" i="7"/>
  <c r="I57" i="7"/>
  <c r="H57" i="7"/>
  <c r="G57" i="7"/>
  <c r="I25" i="7"/>
  <c r="H25" i="7"/>
  <c r="G25" i="7"/>
  <c r="I17" i="7"/>
  <c r="H17" i="7"/>
  <c r="G17" i="7"/>
  <c r="E41" i="7"/>
  <c r="G143" i="7"/>
  <c r="G135" i="7"/>
  <c r="G127" i="7"/>
  <c r="G119" i="7"/>
  <c r="H111" i="7"/>
  <c r="G111" i="7"/>
  <c r="H103" i="7"/>
  <c r="G103" i="7"/>
  <c r="H95" i="7"/>
  <c r="G95" i="7"/>
  <c r="H87" i="7"/>
  <c r="G87" i="7"/>
  <c r="F87" i="7"/>
  <c r="H79" i="7"/>
  <c r="G79" i="7"/>
  <c r="F79" i="7"/>
  <c r="H71" i="7"/>
  <c r="G71" i="7"/>
  <c r="F71" i="7"/>
  <c r="H63" i="7"/>
  <c r="G63" i="7"/>
  <c r="F63" i="7"/>
  <c r="H55" i="7"/>
  <c r="G55" i="7"/>
  <c r="F55" i="7"/>
  <c r="H47" i="7"/>
  <c r="G47" i="7"/>
  <c r="F47" i="7"/>
  <c r="H39" i="7"/>
  <c r="G39" i="7"/>
  <c r="F39" i="7"/>
  <c r="H31" i="7"/>
  <c r="G31" i="7"/>
  <c r="F31" i="7"/>
  <c r="H23" i="7"/>
  <c r="G23" i="7"/>
  <c r="F23" i="7"/>
  <c r="H15" i="7"/>
  <c r="G15" i="7"/>
  <c r="F15" i="7"/>
  <c r="H7" i="7"/>
  <c r="G7" i="7"/>
  <c r="F7" i="7"/>
  <c r="D133" i="7"/>
  <c r="D117" i="7"/>
  <c r="D85" i="7"/>
  <c r="D53" i="7"/>
  <c r="D21" i="7"/>
  <c r="E143" i="7"/>
  <c r="E135" i="7"/>
  <c r="E119" i="7"/>
  <c r="E111" i="7"/>
  <c r="E103" i="7"/>
  <c r="E95" i="7"/>
  <c r="E87" i="7"/>
  <c r="E79" i="7"/>
  <c r="E71" i="7"/>
  <c r="E63" i="7"/>
  <c r="E55" i="7"/>
  <c r="E47" i="7"/>
  <c r="E39" i="7"/>
  <c r="E31" i="7"/>
  <c r="E23" i="7"/>
  <c r="E15" i="7"/>
  <c r="E7" i="7"/>
  <c r="F145" i="7"/>
  <c r="F137" i="7"/>
  <c r="F121" i="7"/>
  <c r="F113" i="7"/>
  <c r="F82" i="7"/>
  <c r="F66" i="7"/>
  <c r="F50" i="7"/>
  <c r="F34" i="7"/>
  <c r="F18" i="7"/>
  <c r="G2" i="7"/>
  <c r="G132" i="7"/>
  <c r="G116" i="7"/>
  <c r="G100" i="7"/>
  <c r="G84" i="7"/>
  <c r="G68" i="7"/>
  <c r="G52" i="7"/>
  <c r="G20" i="7"/>
  <c r="G4" i="7"/>
  <c r="I136" i="7"/>
  <c r="I104" i="7"/>
  <c r="I72" i="7"/>
  <c r="I40" i="7"/>
  <c r="I8" i="7"/>
  <c r="I97" i="7"/>
  <c r="G97" i="7"/>
  <c r="I65" i="7"/>
  <c r="H65" i="7"/>
  <c r="G65" i="7"/>
  <c r="I33" i="7"/>
  <c r="H33" i="7"/>
  <c r="G33" i="7"/>
  <c r="I9" i="7"/>
  <c r="H9" i="7"/>
  <c r="G9" i="7"/>
  <c r="E145" i="7"/>
  <c r="I142" i="7"/>
  <c r="I134" i="7"/>
  <c r="I126" i="7"/>
  <c r="I118" i="7"/>
  <c r="I110" i="7"/>
  <c r="I102" i="7"/>
  <c r="F94" i="7"/>
  <c r="I94" i="7"/>
  <c r="F86" i="7"/>
  <c r="I86" i="7"/>
  <c r="F78" i="7"/>
  <c r="I78" i="7"/>
  <c r="I70" i="7"/>
  <c r="F62" i="7"/>
  <c r="I62" i="7"/>
  <c r="F54" i="7"/>
  <c r="I54" i="7"/>
  <c r="F46" i="7"/>
  <c r="I46" i="7"/>
  <c r="F38" i="7"/>
  <c r="I38" i="7"/>
  <c r="F30" i="7"/>
  <c r="I30" i="7"/>
  <c r="F22" i="7"/>
  <c r="I22" i="7"/>
  <c r="F14" i="7"/>
  <c r="I14" i="7"/>
  <c r="F6" i="7"/>
  <c r="I6" i="7"/>
  <c r="D92" i="7"/>
  <c r="D76" i="7"/>
  <c r="D60" i="7"/>
  <c r="D44" i="7"/>
  <c r="D28" i="7"/>
  <c r="D12" i="7"/>
  <c r="E142" i="7"/>
  <c r="E134" i="7"/>
  <c r="E126" i="7"/>
  <c r="E118" i="7"/>
  <c r="E110" i="7"/>
  <c r="E102" i="7"/>
  <c r="E94" i="7"/>
  <c r="E86" i="7"/>
  <c r="E78" i="7"/>
  <c r="E70" i="7"/>
  <c r="E62" i="7"/>
  <c r="E54" i="7"/>
  <c r="E46" i="7"/>
  <c r="E38" i="7"/>
  <c r="E30" i="7"/>
  <c r="E22" i="7"/>
  <c r="E14" i="7"/>
  <c r="E6" i="7"/>
  <c r="F144" i="7"/>
  <c r="F136" i="7"/>
  <c r="F128" i="7"/>
  <c r="F120" i="7"/>
  <c r="F112" i="7"/>
  <c r="F104" i="7"/>
  <c r="F95" i="7"/>
  <c r="F81" i="7"/>
  <c r="F65" i="7"/>
  <c r="F49" i="7"/>
  <c r="F33" i="7"/>
  <c r="F17" i="7"/>
  <c r="G147" i="7"/>
  <c r="G115" i="7"/>
  <c r="G99" i="7"/>
  <c r="G83" i="7"/>
  <c r="G67" i="7"/>
  <c r="G51" i="7"/>
  <c r="G35" i="7"/>
  <c r="G19" i="7"/>
  <c r="G3" i="7"/>
  <c r="I135" i="7"/>
  <c r="I103" i="7"/>
  <c r="I71" i="7"/>
  <c r="I39" i="7"/>
  <c r="I7" i="7"/>
  <c r="I89" i="7"/>
  <c r="H89" i="7"/>
  <c r="G89" i="7"/>
  <c r="E121" i="7"/>
  <c r="E73" i="7"/>
  <c r="E57" i="7"/>
  <c r="E9" i="7"/>
  <c r="I141" i="7"/>
  <c r="I133" i="7"/>
  <c r="I125" i="7"/>
  <c r="I117" i="7"/>
  <c r="I109" i="7"/>
  <c r="I101" i="7"/>
  <c r="F93" i="7"/>
  <c r="I93" i="7"/>
  <c r="F85" i="7"/>
  <c r="I85" i="7"/>
  <c r="F77" i="7"/>
  <c r="I77" i="7"/>
  <c r="F69" i="7"/>
  <c r="I69" i="7"/>
  <c r="F61" i="7"/>
  <c r="I61" i="7"/>
  <c r="F53" i="7"/>
  <c r="I53" i="7"/>
  <c r="F45" i="7"/>
  <c r="I45" i="7"/>
  <c r="F37" i="7"/>
  <c r="I37" i="7"/>
  <c r="F29" i="7"/>
  <c r="I29" i="7"/>
  <c r="I21" i="7"/>
  <c r="F13" i="7"/>
  <c r="I13" i="7"/>
  <c r="F5" i="7"/>
  <c r="I5" i="7"/>
  <c r="D91" i="7"/>
  <c r="D75" i="7"/>
  <c r="D59" i="7"/>
  <c r="D43" i="7"/>
  <c r="D27" i="7"/>
  <c r="D11" i="7"/>
  <c r="E141" i="7"/>
  <c r="E133" i="7"/>
  <c r="E125" i="7"/>
  <c r="E109" i="7"/>
  <c r="E101" i="7"/>
  <c r="E93" i="7"/>
  <c r="E85" i="7"/>
  <c r="E77" i="7"/>
  <c r="E69" i="7"/>
  <c r="E61" i="7"/>
  <c r="E53" i="7"/>
  <c r="E45" i="7"/>
  <c r="E37" i="7"/>
  <c r="E29" i="7"/>
  <c r="E21" i="7"/>
  <c r="E13" i="7"/>
  <c r="E5" i="7"/>
  <c r="F143" i="7"/>
  <c r="F135" i="7"/>
  <c r="F127" i="7"/>
  <c r="F119" i="7"/>
  <c r="F111" i="7"/>
  <c r="F103" i="7"/>
  <c r="G142" i="7"/>
  <c r="G126" i="7"/>
  <c r="G94" i="7"/>
  <c r="G78" i="7"/>
  <c r="G62" i="7"/>
  <c r="G46" i="7"/>
  <c r="G30" i="7"/>
  <c r="G14" i="7"/>
  <c r="H144" i="7"/>
  <c r="H128" i="7"/>
  <c r="H110" i="7"/>
  <c r="H78" i="7"/>
  <c r="H46" i="7"/>
  <c r="H14" i="7"/>
  <c r="I128" i="7"/>
  <c r="I96" i="7"/>
  <c r="I64" i="7"/>
  <c r="I32" i="7"/>
  <c r="I105" i="7"/>
  <c r="H105" i="7"/>
  <c r="G105" i="7"/>
  <c r="E97" i="7"/>
  <c r="E33" i="7"/>
  <c r="J2" i="7"/>
  <c r="I2" i="7"/>
  <c r="H2" i="7"/>
  <c r="I140" i="7"/>
  <c r="H140" i="7"/>
  <c r="H132" i="7"/>
  <c r="I124" i="7"/>
  <c r="H124" i="7"/>
  <c r="I116" i="7"/>
  <c r="H116" i="7"/>
  <c r="I108" i="7"/>
  <c r="H108" i="7"/>
  <c r="I100" i="7"/>
  <c r="I92" i="7"/>
  <c r="H92" i="7"/>
  <c r="I84" i="7"/>
  <c r="H84" i="7"/>
  <c r="I76" i="7"/>
  <c r="H76" i="7"/>
  <c r="I68" i="7"/>
  <c r="H68" i="7"/>
  <c r="I60" i="7"/>
  <c r="H60" i="7"/>
  <c r="I52" i="7"/>
  <c r="H52" i="7"/>
  <c r="I44" i="7"/>
  <c r="H44" i="7"/>
  <c r="I36" i="7"/>
  <c r="H36" i="7"/>
  <c r="I28" i="7"/>
  <c r="H28" i="7"/>
  <c r="I20" i="7"/>
  <c r="H20" i="7"/>
  <c r="I12" i="7"/>
  <c r="H12" i="7"/>
  <c r="I4" i="7"/>
  <c r="H4" i="7"/>
  <c r="D138" i="7"/>
  <c r="D106" i="7"/>
  <c r="D90" i="7"/>
  <c r="D74" i="7"/>
  <c r="D58" i="7"/>
  <c r="D42" i="7"/>
  <c r="D26" i="7"/>
  <c r="D10" i="7"/>
  <c r="E2" i="7"/>
  <c r="E140" i="7"/>
  <c r="E132" i="7"/>
  <c r="E124" i="7"/>
  <c r="E116" i="7"/>
  <c r="E108" i="7"/>
  <c r="E100" i="7"/>
  <c r="E92" i="7"/>
  <c r="E84" i="7"/>
  <c r="E76" i="7"/>
  <c r="E68" i="7"/>
  <c r="E60" i="7"/>
  <c r="E52" i="7"/>
  <c r="E44" i="7"/>
  <c r="E36" i="7"/>
  <c r="E28" i="7"/>
  <c r="E20" i="7"/>
  <c r="E12" i="7"/>
  <c r="E4" i="7"/>
  <c r="F142" i="7"/>
  <c r="F134" i="7"/>
  <c r="F126" i="7"/>
  <c r="F118" i="7"/>
  <c r="F110" i="7"/>
  <c r="F102" i="7"/>
  <c r="G141" i="7"/>
  <c r="G125" i="7"/>
  <c r="G109" i="7"/>
  <c r="G93" i="7"/>
  <c r="G77" i="7"/>
  <c r="G61" i="7"/>
  <c r="G45" i="7"/>
  <c r="G29" i="7"/>
  <c r="G13" i="7"/>
  <c r="H143" i="7"/>
  <c r="H127" i="7"/>
  <c r="H109" i="7"/>
  <c r="H77" i="7"/>
  <c r="H45" i="7"/>
  <c r="H13" i="7"/>
  <c r="I127" i="7"/>
  <c r="I95" i="7"/>
  <c r="I63" i="7"/>
  <c r="I31" i="7"/>
  <c r="I129" i="7"/>
  <c r="H129" i="7"/>
  <c r="G129" i="7"/>
  <c r="E113" i="7"/>
  <c r="E65" i="7"/>
  <c r="E25" i="7"/>
  <c r="I147" i="7"/>
  <c r="H147" i="7"/>
  <c r="I139" i="7"/>
  <c r="H139" i="7"/>
  <c r="I131" i="7"/>
  <c r="H131" i="7"/>
  <c r="I123" i="7"/>
  <c r="H123" i="7"/>
  <c r="I115" i="7"/>
  <c r="H115" i="7"/>
  <c r="I107" i="7"/>
  <c r="H107" i="7"/>
  <c r="I99" i="7"/>
  <c r="H99" i="7"/>
  <c r="I91" i="7"/>
  <c r="H91" i="7"/>
  <c r="I83" i="7"/>
  <c r="H83" i="7"/>
  <c r="I75" i="7"/>
  <c r="H75" i="7"/>
  <c r="I67" i="7"/>
  <c r="H67" i="7"/>
  <c r="I59" i="7"/>
  <c r="H59" i="7"/>
  <c r="I51" i="7"/>
  <c r="H51" i="7"/>
  <c r="I43" i="7"/>
  <c r="H43" i="7"/>
  <c r="I35" i="7"/>
  <c r="H35" i="7"/>
  <c r="I27" i="7"/>
  <c r="H27" i="7"/>
  <c r="I19" i="7"/>
  <c r="H19" i="7"/>
  <c r="I11" i="7"/>
  <c r="H11" i="7"/>
  <c r="I3" i="7"/>
  <c r="H3" i="7"/>
  <c r="D145" i="7"/>
  <c r="D137" i="7"/>
  <c r="D129" i="7"/>
  <c r="D113" i="7"/>
  <c r="D105" i="7"/>
  <c r="D97" i="7"/>
  <c r="D89" i="7"/>
  <c r="D81" i="7"/>
  <c r="D73" i="7"/>
  <c r="D65" i="7"/>
  <c r="D57" i="7"/>
  <c r="D41" i="7"/>
  <c r="D33" i="7"/>
  <c r="D25" i="7"/>
  <c r="D17" i="7"/>
  <c r="D9" i="7"/>
  <c r="E147" i="7"/>
  <c r="E139" i="7"/>
  <c r="E131" i="7"/>
  <c r="E123" i="7"/>
  <c r="E115" i="7"/>
  <c r="E99" i="7"/>
  <c r="E91" i="7"/>
  <c r="E75" i="7"/>
  <c r="E67" i="7"/>
  <c r="E59" i="7"/>
  <c r="E51" i="7"/>
  <c r="E43" i="7"/>
  <c r="E35" i="7"/>
  <c r="E27" i="7"/>
  <c r="E19" i="7"/>
  <c r="E11" i="7"/>
  <c r="E3" i="7"/>
  <c r="F141" i="7"/>
  <c r="F133" i="7"/>
  <c r="F125" i="7"/>
  <c r="F117" i="7"/>
  <c r="F109" i="7"/>
  <c r="F101" i="7"/>
  <c r="F74" i="7"/>
  <c r="F42" i="7"/>
  <c r="F10" i="7"/>
  <c r="G140" i="7"/>
  <c r="G124" i="7"/>
  <c r="G108" i="7"/>
  <c r="G92" i="7"/>
  <c r="G76" i="7"/>
  <c r="G60" i="7"/>
  <c r="G44" i="7"/>
  <c r="G28" i="7"/>
  <c r="G12" i="7"/>
  <c r="H142" i="7"/>
  <c r="H126" i="7"/>
  <c r="H102" i="7"/>
  <c r="H70" i="7"/>
  <c r="H38" i="7"/>
  <c r="I120" i="7"/>
  <c r="I88" i="7"/>
  <c r="I56" i="7"/>
  <c r="I24" i="7"/>
  <c r="I121" i="7"/>
  <c r="H121" i="7"/>
  <c r="G121" i="7"/>
  <c r="I49" i="7"/>
  <c r="H49" i="7"/>
  <c r="G49" i="7"/>
  <c r="E129" i="7"/>
  <c r="E49" i="7"/>
  <c r="I146" i="7"/>
  <c r="H146" i="7"/>
  <c r="G146" i="7"/>
  <c r="I138" i="7"/>
  <c r="H138" i="7"/>
  <c r="I130" i="7"/>
  <c r="H130" i="7"/>
  <c r="G130" i="7"/>
  <c r="I122" i="7"/>
  <c r="H122" i="7"/>
  <c r="G122" i="7"/>
  <c r="I114" i="7"/>
  <c r="H114" i="7"/>
  <c r="G114" i="7"/>
  <c r="I106" i="7"/>
  <c r="H106" i="7"/>
  <c r="G106" i="7"/>
  <c r="I98" i="7"/>
  <c r="G98" i="7"/>
  <c r="I90" i="7"/>
  <c r="H90" i="7"/>
  <c r="G90" i="7"/>
  <c r="I82" i="7"/>
  <c r="H82" i="7"/>
  <c r="G82" i="7"/>
  <c r="I74" i="7"/>
  <c r="H74" i="7"/>
  <c r="G74" i="7"/>
  <c r="I66" i="7"/>
  <c r="H66" i="7"/>
  <c r="G66" i="7"/>
  <c r="I58" i="7"/>
  <c r="G58" i="7"/>
  <c r="I50" i="7"/>
  <c r="H50" i="7"/>
  <c r="G50" i="7"/>
  <c r="I42" i="7"/>
  <c r="H42" i="7"/>
  <c r="G42" i="7"/>
  <c r="I34" i="7"/>
  <c r="H34" i="7"/>
  <c r="G34" i="7"/>
  <c r="I26" i="7"/>
  <c r="H26" i="7"/>
  <c r="G26" i="7"/>
  <c r="I18" i="7"/>
  <c r="H18" i="7"/>
  <c r="G18" i="7"/>
  <c r="I10" i="7"/>
  <c r="H10" i="7"/>
  <c r="G10" i="7"/>
  <c r="D144" i="7"/>
  <c r="D136" i="7"/>
  <c r="D128" i="7"/>
  <c r="D120" i="7"/>
  <c r="D112" i="7"/>
  <c r="D96" i="7"/>
  <c r="D88" i="7"/>
  <c r="D80" i="7"/>
  <c r="D64" i="7"/>
  <c r="D56" i="7"/>
  <c r="D48" i="7"/>
  <c r="D40" i="7"/>
  <c r="D32" i="7"/>
  <c r="D24" i="7"/>
  <c r="D16" i="7"/>
  <c r="D8" i="7"/>
  <c r="E146" i="7"/>
  <c r="E138" i="7"/>
  <c r="E122" i="7"/>
  <c r="E114" i="7"/>
  <c r="E106" i="7"/>
  <c r="E98" i="7"/>
  <c r="E90" i="7"/>
  <c r="E82" i="7"/>
  <c r="E74" i="7"/>
  <c r="E66" i="7"/>
  <c r="E58" i="7"/>
  <c r="E50" i="7"/>
  <c r="E42" i="7"/>
  <c r="E34" i="7"/>
  <c r="E26" i="7"/>
  <c r="E18" i="7"/>
  <c r="E10" i="7"/>
  <c r="F140" i="7"/>
  <c r="F132" i="7"/>
  <c r="F124" i="7"/>
  <c r="F116" i="7"/>
  <c r="F108" i="7"/>
  <c r="F100" i="7"/>
  <c r="F89" i="7"/>
  <c r="F73" i="7"/>
  <c r="F57" i="7"/>
  <c r="F41" i="7"/>
  <c r="F25" i="7"/>
  <c r="F9" i="7"/>
  <c r="G139" i="7"/>
  <c r="G123" i="7"/>
  <c r="G107" i="7"/>
  <c r="G91" i="7"/>
  <c r="G75" i="7"/>
  <c r="G59" i="7"/>
  <c r="G43" i="7"/>
  <c r="G27" i="7"/>
  <c r="G11" i="7"/>
  <c r="H141" i="7"/>
  <c r="H125" i="7"/>
  <c r="H101" i="7"/>
  <c r="H69" i="7"/>
  <c r="H37" i="7"/>
  <c r="H5" i="7"/>
  <c r="I119" i="7"/>
  <c r="I87" i="7"/>
  <c r="I55" i="7"/>
  <c r="I23" i="7"/>
  <c r="J14" i="1"/>
  <c r="AJ14" i="7" s="1"/>
  <c r="AQ14" i="7" s="1"/>
  <c r="AO5" i="1"/>
  <c r="C5" i="4" s="1"/>
  <c r="E5" i="4" s="1"/>
  <c r="J3" i="1"/>
  <c r="Y3" i="7" s="1"/>
  <c r="AB3" i="7" s="1"/>
  <c r="J4" i="1"/>
  <c r="Y4" i="7" s="1"/>
  <c r="AB4" i="7" s="1"/>
  <c r="J10" i="1"/>
  <c r="Y10" i="7" s="1"/>
  <c r="AB10" i="7" s="1"/>
  <c r="J15" i="1"/>
  <c r="Y15" i="7" s="1"/>
  <c r="AB15" i="7" s="1"/>
  <c r="J2" i="1"/>
  <c r="C2" i="7" s="1"/>
  <c r="F2" i="7" s="1"/>
  <c r="J5" i="1"/>
  <c r="N5" i="7" s="1"/>
  <c r="Q5" i="7" s="1"/>
  <c r="W78" i="1"/>
  <c r="V10" i="1"/>
  <c r="W14" i="1"/>
  <c r="W4" i="1"/>
  <c r="W5" i="1"/>
  <c r="W18" i="1"/>
  <c r="W70" i="1"/>
  <c r="W15" i="1"/>
  <c r="J70" i="1"/>
  <c r="C70" i="7" s="1"/>
  <c r="F70" i="7" s="1"/>
  <c r="W146" i="1"/>
  <c r="W34" i="1"/>
  <c r="W2" i="1"/>
  <c r="W38" i="1"/>
  <c r="V3" i="1"/>
  <c r="W7" i="1"/>
  <c r="W3" i="1"/>
  <c r="W73" i="1"/>
  <c r="W106" i="1"/>
  <c r="AH8" i="1"/>
  <c r="W10" i="1"/>
  <c r="W104" i="1"/>
  <c r="W72" i="1"/>
  <c r="V15" i="1"/>
  <c r="W79" i="1"/>
  <c r="W71" i="1"/>
  <c r="W13" i="1"/>
  <c r="V2" i="1"/>
  <c r="W62" i="1"/>
  <c r="V62" i="1"/>
  <c r="W61" i="1"/>
  <c r="V38" i="1"/>
  <c r="W92" i="1"/>
  <c r="W76" i="1"/>
  <c r="W9" i="1"/>
  <c r="V70" i="1"/>
  <c r="W91" i="1"/>
  <c r="W8" i="1"/>
  <c r="V79" i="1"/>
  <c r="V71" i="1"/>
  <c r="V13" i="1"/>
  <c r="V5" i="1"/>
  <c r="V61" i="1"/>
  <c r="V14" i="1"/>
  <c r="V92" i="1"/>
  <c r="V76" i="1"/>
  <c r="V9" i="1"/>
  <c r="V107" i="1"/>
  <c r="V91" i="1"/>
  <c r="V8" i="1"/>
  <c r="V78" i="1"/>
  <c r="V4" i="1"/>
  <c r="V146" i="1"/>
  <c r="V106" i="1"/>
  <c r="V34" i="1"/>
  <c r="V18" i="1"/>
  <c r="V7" i="1"/>
  <c r="V73" i="1"/>
  <c r="V104" i="1"/>
  <c r="V72" i="1"/>
  <c r="J91" i="1"/>
  <c r="Y91" i="7" s="1"/>
  <c r="AA91" i="7" s="1"/>
  <c r="J62" i="1"/>
  <c r="Y62" i="7" s="1"/>
  <c r="AA62" i="7" s="1"/>
  <c r="J76" i="1"/>
  <c r="N76" i="7" s="1"/>
  <c r="O76" i="7" s="1"/>
  <c r="J72" i="1"/>
  <c r="C72" i="7" s="1"/>
  <c r="D72" i="7" s="1"/>
  <c r="J92" i="1"/>
  <c r="Y92" i="7" s="1"/>
  <c r="AA92" i="7" s="1"/>
  <c r="J61" i="1"/>
  <c r="Y61" i="7" s="1"/>
  <c r="AA61" i="7" s="1"/>
  <c r="AI73" i="1"/>
  <c r="I73" i="4" s="1"/>
  <c r="N73" i="4" s="1"/>
  <c r="AI62" i="1"/>
  <c r="I62" i="4" s="1"/>
  <c r="L62" i="4" s="1"/>
  <c r="AI61" i="1"/>
  <c r="I61" i="4" s="1"/>
  <c r="L61" i="4" s="1"/>
  <c r="AI13" i="1"/>
  <c r="I13" i="4" s="1"/>
  <c r="N13" i="4" s="1"/>
  <c r="AI91" i="1"/>
  <c r="I91" i="4" s="1"/>
  <c r="L91" i="4" s="1"/>
  <c r="AI146" i="1"/>
  <c r="I146" i="4" s="1"/>
  <c r="L146" i="4" s="1"/>
  <c r="AI106" i="1"/>
  <c r="I106" i="4" s="1"/>
  <c r="L106" i="4" s="1"/>
  <c r="J71" i="1"/>
  <c r="N71" i="7" s="1"/>
  <c r="O71" i="7" s="1"/>
  <c r="AI78" i="1"/>
  <c r="I78" i="4" s="1"/>
  <c r="J78" i="4" s="1"/>
  <c r="AI107" i="1"/>
  <c r="I107" i="4" s="1"/>
  <c r="J107" i="4" s="1"/>
  <c r="AI76" i="1"/>
  <c r="I76" i="4" s="1"/>
  <c r="K76" i="4" s="1"/>
  <c r="AI72" i="1"/>
  <c r="I72" i="4" s="1"/>
  <c r="J72" i="4" s="1"/>
  <c r="AI70" i="1"/>
  <c r="I70" i="4" s="1"/>
  <c r="J70" i="4" s="1"/>
  <c r="J78" i="1"/>
  <c r="C78" i="7" s="1"/>
  <c r="D78" i="7" s="1"/>
  <c r="AI92" i="1"/>
  <c r="I92" i="4" s="1"/>
  <c r="L92" i="4" s="1"/>
  <c r="AI79" i="1"/>
  <c r="I79" i="4" s="1"/>
  <c r="K79" i="4" s="1"/>
  <c r="AI38" i="1"/>
  <c r="I38" i="4" s="1"/>
  <c r="N38" i="4" s="1"/>
  <c r="J18" i="1"/>
  <c r="AU18" i="7" s="1"/>
  <c r="AW18" i="7" s="1"/>
  <c r="AH9" i="1"/>
  <c r="E9" i="6" s="1"/>
  <c r="AH7" i="1"/>
  <c r="E7" i="6" s="1"/>
  <c r="J104" i="1"/>
  <c r="C104" i="7" s="1"/>
  <c r="D104" i="7" s="1"/>
  <c r="J107" i="1"/>
  <c r="C107" i="7" s="1"/>
  <c r="E107" i="7" s="1"/>
  <c r="J146" i="1"/>
  <c r="Y146" i="7" s="1"/>
  <c r="AD146" i="7" s="1"/>
  <c r="J79" i="1"/>
  <c r="N79" i="7" s="1"/>
  <c r="O79" i="7" s="1"/>
  <c r="S19" i="1"/>
  <c r="AV19" i="1"/>
  <c r="T19" i="1" s="1"/>
  <c r="D19" i="6" s="1"/>
  <c r="AG114" i="1"/>
  <c r="AF114" i="1"/>
  <c r="U113" i="1"/>
  <c r="W113" i="1" s="1"/>
  <c r="AG113" i="1"/>
  <c r="AF113" i="1"/>
  <c r="AG142" i="1"/>
  <c r="AW46" i="1"/>
  <c r="U46" i="1" s="1"/>
  <c r="AV46" i="1"/>
  <c r="T46" i="1" s="1"/>
  <c r="D46" i="6" s="1"/>
  <c r="R124" i="1"/>
  <c r="R52" i="1"/>
  <c r="T48" i="1"/>
  <c r="D48" i="6" s="1"/>
  <c r="AV50" i="1"/>
  <c r="T50" i="1" s="1"/>
  <c r="D50" i="6" s="1"/>
  <c r="G50" i="6" s="1"/>
  <c r="AA50" i="6" s="1"/>
  <c r="U22" i="1"/>
  <c r="T22" i="1"/>
  <c r="D22" i="6" s="1"/>
  <c r="L26" i="1"/>
  <c r="R30" i="1"/>
  <c r="R147" i="1"/>
  <c r="R42" i="1"/>
  <c r="R37" i="1"/>
  <c r="R36" i="1"/>
  <c r="R47" i="1"/>
  <c r="R21" i="1"/>
  <c r="R20" i="1"/>
  <c r="R105" i="1"/>
  <c r="R108" i="1"/>
  <c r="R19" i="1"/>
  <c r="R132" i="1"/>
  <c r="R114" i="1"/>
  <c r="R113" i="1"/>
  <c r="R12" i="1"/>
  <c r="R88" i="1"/>
  <c r="R143" i="1"/>
  <c r="R141" i="1"/>
  <c r="R127" i="1"/>
  <c r="R115" i="1"/>
  <c r="R35" i="1"/>
  <c r="R125" i="1"/>
  <c r="R116" i="1"/>
  <c r="R87" i="1"/>
  <c r="R142" i="1"/>
  <c r="R126" i="1"/>
  <c r="R56" i="1"/>
  <c r="R57" i="1"/>
  <c r="R55" i="1"/>
  <c r="R59" i="1"/>
  <c r="R58" i="1"/>
  <c r="R54" i="1"/>
  <c r="R6" i="1"/>
  <c r="R11" i="1"/>
  <c r="R17" i="1"/>
  <c r="R53" i="1"/>
  <c r="R45" i="1"/>
  <c r="R46" i="1"/>
  <c r="R75" i="1"/>
  <c r="R44" i="1"/>
  <c r="R74" i="1"/>
  <c r="R103" i="1"/>
  <c r="R80" i="1"/>
  <c r="R109" i="1"/>
  <c r="R85" i="1"/>
  <c r="R129" i="1"/>
  <c r="R77" i="1"/>
  <c r="R98" i="1"/>
  <c r="R111" i="1"/>
  <c r="R110" i="1"/>
  <c r="R121" i="1"/>
  <c r="R84" i="1"/>
  <c r="R120" i="1"/>
  <c r="R123" i="1"/>
  <c r="R128" i="1"/>
  <c r="R119" i="1"/>
  <c r="R145" i="1"/>
  <c r="R83" i="1"/>
  <c r="R81" i="1"/>
  <c r="R117" i="1"/>
  <c r="R144" i="1"/>
  <c r="R130" i="1"/>
  <c r="R122" i="1"/>
  <c r="R118" i="1"/>
  <c r="R89" i="1"/>
  <c r="R86" i="1"/>
  <c r="R112" i="1"/>
  <c r="R102" i="1"/>
  <c r="R82" i="1"/>
  <c r="R133" i="1"/>
  <c r="R136" i="1"/>
  <c r="R68" i="1"/>
  <c r="R49" i="1"/>
  <c r="R51" i="1"/>
  <c r="R64" i="1"/>
  <c r="R63" i="1"/>
  <c r="R50" i="1"/>
  <c r="R69" i="1"/>
  <c r="R95" i="1"/>
  <c r="R24" i="1"/>
  <c r="R23" i="1"/>
  <c r="R43" i="1"/>
  <c r="R140" i="1"/>
  <c r="R99" i="1"/>
  <c r="R66" i="1"/>
  <c r="R65" i="1"/>
  <c r="R39" i="1"/>
  <c r="R134" i="1"/>
  <c r="R90" i="1"/>
  <c r="R97" i="1"/>
  <c r="R101" i="1"/>
  <c r="R100" i="1"/>
  <c r="R27" i="1"/>
  <c r="R139" i="1"/>
  <c r="R138" i="1"/>
  <c r="R33" i="1"/>
  <c r="R32" i="1"/>
  <c r="R131" i="1"/>
  <c r="R26" i="1"/>
  <c r="R31" i="1"/>
  <c r="R41" i="1"/>
  <c r="R29" i="1"/>
  <c r="R94" i="1"/>
  <c r="R135" i="1"/>
  <c r="R22" i="1"/>
  <c r="R40" i="1"/>
  <c r="R137" i="1"/>
  <c r="R93" i="1"/>
  <c r="R28" i="1"/>
  <c r="R25" i="1"/>
  <c r="AH25" i="1"/>
  <c r="E25" i="6" s="1"/>
  <c r="S28" i="1"/>
  <c r="S93" i="1"/>
  <c r="S137" i="1"/>
  <c r="S40" i="1"/>
  <c r="S60" i="1"/>
  <c r="S30" i="1"/>
  <c r="S135" i="1"/>
  <c r="S94" i="1"/>
  <c r="S29" i="1"/>
  <c r="S41" i="1"/>
  <c r="S31" i="1"/>
  <c r="S26" i="1"/>
  <c r="S131" i="1"/>
  <c r="S32" i="1"/>
  <c r="S33" i="1"/>
  <c r="S138" i="1"/>
  <c r="S139" i="1"/>
  <c r="S27" i="1"/>
  <c r="S100" i="1"/>
  <c r="S101" i="1"/>
  <c r="S97" i="1"/>
  <c r="S90" i="1"/>
  <c r="S134" i="1"/>
  <c r="S39" i="1"/>
  <c r="S65" i="1"/>
  <c r="S66" i="1"/>
  <c r="S99" i="1"/>
  <c r="S140" i="1"/>
  <c r="S43" i="1"/>
  <c r="S23" i="1"/>
  <c r="S24" i="1"/>
  <c r="S95" i="1"/>
  <c r="S69" i="1"/>
  <c r="S50" i="1"/>
  <c r="S63" i="1"/>
  <c r="S64" i="1"/>
  <c r="S96" i="1"/>
  <c r="S67" i="1"/>
  <c r="S51" i="1"/>
  <c r="S68" i="1"/>
  <c r="S136" i="1"/>
  <c r="S82" i="1"/>
  <c r="S102" i="1"/>
  <c r="S112" i="1"/>
  <c r="S86" i="1"/>
  <c r="S89" i="1"/>
  <c r="S118" i="1"/>
  <c r="S124" i="1"/>
  <c r="S122" i="1"/>
  <c r="S130" i="1"/>
  <c r="S144" i="1"/>
  <c r="S117" i="1"/>
  <c r="S81" i="1"/>
  <c r="S83" i="1"/>
  <c r="S145" i="1"/>
  <c r="S119" i="1"/>
  <c r="S128" i="1"/>
  <c r="S123" i="1"/>
  <c r="S120" i="1"/>
  <c r="S84" i="1"/>
  <c r="S121" i="1"/>
  <c r="S110" i="1"/>
  <c r="S111" i="1"/>
  <c r="S98" i="1"/>
  <c r="S77" i="1"/>
  <c r="S129" i="1"/>
  <c r="S85" i="1"/>
  <c r="S74" i="1"/>
  <c r="S44" i="1"/>
  <c r="S75" i="1"/>
  <c r="S46" i="1"/>
  <c r="S45" i="1"/>
  <c r="S16" i="1"/>
  <c r="S53" i="1"/>
  <c r="S17" i="1"/>
  <c r="S11" i="1"/>
  <c r="S6" i="1"/>
  <c r="S54" i="1"/>
  <c r="S58" i="1"/>
  <c r="S59" i="1"/>
  <c r="S55" i="1"/>
  <c r="S57" i="1"/>
  <c r="S56" i="1"/>
  <c r="S126" i="1"/>
  <c r="S142" i="1"/>
  <c r="S87" i="1"/>
  <c r="S116" i="1"/>
  <c r="S125" i="1"/>
  <c r="S35" i="1"/>
  <c r="S115" i="1"/>
  <c r="S127" i="1"/>
  <c r="S141" i="1"/>
  <c r="S143" i="1"/>
  <c r="S88" i="1"/>
  <c r="S12" i="1"/>
  <c r="S113" i="1"/>
  <c r="S114" i="1"/>
  <c r="S132" i="1"/>
  <c r="S20" i="1"/>
  <c r="S21" i="1"/>
  <c r="S47" i="1"/>
  <c r="S36" i="1"/>
  <c r="S37" i="1"/>
  <c r="S42" i="1"/>
  <c r="S147" i="1"/>
  <c r="S25" i="1"/>
  <c r="U28" i="1"/>
  <c r="U93" i="1"/>
  <c r="U137" i="1"/>
  <c r="W137" i="1" s="1"/>
  <c r="U40" i="1"/>
  <c r="U60" i="1"/>
  <c r="U30" i="1"/>
  <c r="U135" i="1"/>
  <c r="U94" i="1"/>
  <c r="U29" i="1"/>
  <c r="U41" i="1"/>
  <c r="U26" i="1"/>
  <c r="U131" i="1"/>
  <c r="U32" i="1"/>
  <c r="U33" i="1"/>
  <c r="U138" i="1"/>
  <c r="U139" i="1"/>
  <c r="U27" i="1"/>
  <c r="U100" i="1"/>
  <c r="U101" i="1"/>
  <c r="U97" i="1"/>
  <c r="U90" i="1"/>
  <c r="U134" i="1"/>
  <c r="U39" i="1"/>
  <c r="U65" i="1"/>
  <c r="U66" i="1"/>
  <c r="U43" i="1"/>
  <c r="U23" i="1"/>
  <c r="U24" i="1"/>
  <c r="U95" i="1"/>
  <c r="U69" i="1"/>
  <c r="U50" i="1"/>
  <c r="U48" i="1"/>
  <c r="U63" i="1"/>
  <c r="U64" i="1"/>
  <c r="U96" i="1"/>
  <c r="U67" i="1"/>
  <c r="U51" i="1"/>
  <c r="U49" i="1"/>
  <c r="W49" i="1" s="1"/>
  <c r="U68" i="1"/>
  <c r="U136" i="1"/>
  <c r="U52" i="1"/>
  <c r="W52" i="1" s="1"/>
  <c r="U133" i="1"/>
  <c r="U82" i="1"/>
  <c r="U102" i="1"/>
  <c r="U112" i="1"/>
  <c r="U86" i="1"/>
  <c r="U89" i="1"/>
  <c r="U118" i="1"/>
  <c r="U124" i="1"/>
  <c r="U122" i="1"/>
  <c r="U130" i="1"/>
  <c r="U144" i="1"/>
  <c r="U117" i="1"/>
  <c r="U81" i="1"/>
  <c r="U83" i="1"/>
  <c r="U145" i="1"/>
  <c r="U119" i="1"/>
  <c r="U128" i="1"/>
  <c r="U123" i="1"/>
  <c r="U120" i="1"/>
  <c r="U84" i="1"/>
  <c r="U121" i="1"/>
  <c r="U110" i="1"/>
  <c r="U111" i="1"/>
  <c r="U98" i="1"/>
  <c r="U77" i="1"/>
  <c r="U85" i="1"/>
  <c r="U109" i="1"/>
  <c r="W109" i="1" s="1"/>
  <c r="U80" i="1"/>
  <c r="W80" i="1" s="1"/>
  <c r="U103" i="1"/>
  <c r="W103" i="1" s="1"/>
  <c r="U44" i="1"/>
  <c r="U45" i="1"/>
  <c r="U16" i="1"/>
  <c r="W16" i="1" s="1"/>
  <c r="U53" i="1"/>
  <c r="U6" i="1"/>
  <c r="W6" i="1" s="1"/>
  <c r="U54" i="1"/>
  <c r="U58" i="1"/>
  <c r="U59" i="1"/>
  <c r="U55" i="1"/>
  <c r="U57" i="1"/>
  <c r="U56" i="1"/>
  <c r="U126" i="1"/>
  <c r="U142" i="1"/>
  <c r="U87" i="1"/>
  <c r="U116" i="1"/>
  <c r="U125" i="1"/>
  <c r="U35" i="1"/>
  <c r="U115" i="1"/>
  <c r="U127" i="1"/>
  <c r="U141" i="1"/>
  <c r="U143" i="1"/>
  <c r="U88" i="1"/>
  <c r="U132" i="1"/>
  <c r="U19" i="1"/>
  <c r="U108" i="1"/>
  <c r="W108" i="1" s="1"/>
  <c r="U105" i="1"/>
  <c r="W105" i="1" s="1"/>
  <c r="U47" i="1"/>
  <c r="U36" i="1"/>
  <c r="U37" i="1"/>
  <c r="U42" i="1"/>
  <c r="W42" i="1" s="1"/>
  <c r="U147" i="1"/>
  <c r="T28" i="1"/>
  <c r="D28" i="6" s="1"/>
  <c r="G28" i="6" s="1"/>
  <c r="V28" i="6" s="1"/>
  <c r="T93" i="1"/>
  <c r="D93" i="6" s="1"/>
  <c r="G93" i="6" s="1"/>
  <c r="V93" i="6" s="1"/>
  <c r="T40" i="1"/>
  <c r="D40" i="6" s="1"/>
  <c r="G40" i="6" s="1"/>
  <c r="V40" i="6" s="1"/>
  <c r="T60" i="1"/>
  <c r="D60" i="6" s="1"/>
  <c r="G60" i="6" s="1"/>
  <c r="V60" i="6" s="1"/>
  <c r="T30" i="1"/>
  <c r="D30" i="6" s="1"/>
  <c r="G30" i="6" s="1"/>
  <c r="V30" i="6" s="1"/>
  <c r="T135" i="1"/>
  <c r="D135" i="6" s="1"/>
  <c r="G135" i="6" s="1"/>
  <c r="V135" i="6" s="1"/>
  <c r="T94" i="1"/>
  <c r="D94" i="6" s="1"/>
  <c r="G94" i="6" s="1"/>
  <c r="V94" i="6" s="1"/>
  <c r="T29" i="1"/>
  <c r="D29" i="6" s="1"/>
  <c r="G29" i="6" s="1"/>
  <c r="V29" i="6" s="1"/>
  <c r="T41" i="1"/>
  <c r="D41" i="6" s="1"/>
  <c r="G41" i="6" s="1"/>
  <c r="V41" i="6" s="1"/>
  <c r="T26" i="1"/>
  <c r="D26" i="6" s="1"/>
  <c r="G26" i="6" s="1"/>
  <c r="W26" i="6" s="1"/>
  <c r="T131" i="1"/>
  <c r="D131" i="6" s="1"/>
  <c r="G131" i="6" s="1"/>
  <c r="X131" i="6" s="1"/>
  <c r="T32" i="1"/>
  <c r="D32" i="6" s="1"/>
  <c r="G32" i="6" s="1"/>
  <c r="X32" i="6" s="1"/>
  <c r="T33" i="1"/>
  <c r="D33" i="6" s="1"/>
  <c r="G33" i="6" s="1"/>
  <c r="X33" i="6" s="1"/>
  <c r="T138" i="1"/>
  <c r="D138" i="6" s="1"/>
  <c r="G138" i="6" s="1"/>
  <c r="X138" i="6" s="1"/>
  <c r="T139" i="1"/>
  <c r="D139" i="6" s="1"/>
  <c r="G139" i="6" s="1"/>
  <c r="X139" i="6" s="1"/>
  <c r="T27" i="1"/>
  <c r="D27" i="6" s="1"/>
  <c r="G27" i="6" s="1"/>
  <c r="X27" i="6" s="1"/>
  <c r="T100" i="1"/>
  <c r="D100" i="6" s="1"/>
  <c r="G100" i="6" s="1"/>
  <c r="Y100" i="6" s="1"/>
  <c r="T101" i="1"/>
  <c r="D101" i="6" s="1"/>
  <c r="G101" i="6" s="1"/>
  <c r="Y101" i="6" s="1"/>
  <c r="T97" i="1"/>
  <c r="D97" i="6" s="1"/>
  <c r="G97" i="6" s="1"/>
  <c r="Y97" i="6" s="1"/>
  <c r="T90" i="1"/>
  <c r="D90" i="6" s="1"/>
  <c r="G90" i="6" s="1"/>
  <c r="Y90" i="6" s="1"/>
  <c r="T134" i="1"/>
  <c r="D134" i="6" s="1"/>
  <c r="G134" i="6" s="1"/>
  <c r="Y134" i="6" s="1"/>
  <c r="T39" i="1"/>
  <c r="D39" i="6" s="1"/>
  <c r="G39" i="6" s="1"/>
  <c r="Y39" i="6" s="1"/>
  <c r="T65" i="1"/>
  <c r="D65" i="6" s="1"/>
  <c r="G65" i="6" s="1"/>
  <c r="Z65" i="6" s="1"/>
  <c r="T66" i="1"/>
  <c r="D66" i="6" s="1"/>
  <c r="G66" i="6" s="1"/>
  <c r="Z66" i="6" s="1"/>
  <c r="T43" i="1"/>
  <c r="D43" i="6" s="1"/>
  <c r="T23" i="1"/>
  <c r="D23" i="6" s="1"/>
  <c r="G23" i="6" s="1"/>
  <c r="AA23" i="6" s="1"/>
  <c r="T24" i="1"/>
  <c r="D24" i="6" s="1"/>
  <c r="G24" i="6" s="1"/>
  <c r="AA24" i="6" s="1"/>
  <c r="T95" i="1"/>
  <c r="D95" i="6" s="1"/>
  <c r="G95" i="6" s="1"/>
  <c r="AA95" i="6" s="1"/>
  <c r="T69" i="1"/>
  <c r="D69" i="6" s="1"/>
  <c r="G69" i="6" s="1"/>
  <c r="AA69" i="6" s="1"/>
  <c r="T63" i="1"/>
  <c r="D63" i="6" s="1"/>
  <c r="G63" i="6" s="1"/>
  <c r="AA63" i="6" s="1"/>
  <c r="T64" i="1"/>
  <c r="D64" i="6" s="1"/>
  <c r="G64" i="6" s="1"/>
  <c r="AA64" i="6" s="1"/>
  <c r="T96" i="1"/>
  <c r="D96" i="6" s="1"/>
  <c r="G96" i="6" s="1"/>
  <c r="AA96" i="6" s="1"/>
  <c r="T67" i="1"/>
  <c r="D67" i="6" s="1"/>
  <c r="G67" i="6" s="1"/>
  <c r="AA67" i="6" s="1"/>
  <c r="T51" i="1"/>
  <c r="D51" i="6" s="1"/>
  <c r="G51" i="6" s="1"/>
  <c r="AA51" i="6" s="1"/>
  <c r="T68" i="1"/>
  <c r="D68" i="6" s="1"/>
  <c r="G68" i="6" s="1"/>
  <c r="AA68" i="6" s="1"/>
  <c r="T136" i="1"/>
  <c r="D136" i="6" s="1"/>
  <c r="G136" i="6" s="1"/>
  <c r="AA136" i="6" s="1"/>
  <c r="T133" i="1"/>
  <c r="D133" i="6" s="1"/>
  <c r="T82" i="1"/>
  <c r="T102" i="1"/>
  <c r="D102" i="6" s="1"/>
  <c r="G102" i="6" s="1"/>
  <c r="V102" i="6" s="1"/>
  <c r="T112" i="1"/>
  <c r="T86" i="1"/>
  <c r="T89" i="1"/>
  <c r="T118" i="1"/>
  <c r="T124" i="1"/>
  <c r="T122" i="1"/>
  <c r="D122" i="6" s="1"/>
  <c r="G122" i="6" s="1"/>
  <c r="V122" i="6" s="1"/>
  <c r="T130" i="1"/>
  <c r="D130" i="6" s="1"/>
  <c r="G130" i="6" s="1"/>
  <c r="V130" i="6" s="1"/>
  <c r="T144" i="1"/>
  <c r="D144" i="6" s="1"/>
  <c r="G144" i="6" s="1"/>
  <c r="V144" i="6" s="1"/>
  <c r="T117" i="1"/>
  <c r="T81" i="1"/>
  <c r="T83" i="1"/>
  <c r="T145" i="1"/>
  <c r="T119" i="1"/>
  <c r="T128" i="1"/>
  <c r="T123" i="1"/>
  <c r="T120" i="1"/>
  <c r="T84" i="1"/>
  <c r="T121" i="1"/>
  <c r="T110" i="1"/>
  <c r="T111" i="1"/>
  <c r="T98" i="1"/>
  <c r="T77" i="1"/>
  <c r="T85" i="1"/>
  <c r="T44" i="1"/>
  <c r="D44" i="6" s="1"/>
  <c r="G44" i="6" s="1"/>
  <c r="V44" i="6" s="1"/>
  <c r="T45" i="1"/>
  <c r="D45" i="6" s="1"/>
  <c r="G45" i="6" s="1"/>
  <c r="V45" i="6" s="1"/>
  <c r="T53" i="1"/>
  <c r="D53" i="6" s="1"/>
  <c r="G53" i="6" s="1"/>
  <c r="X53" i="6" s="1"/>
  <c r="T17" i="1"/>
  <c r="T54" i="1"/>
  <c r="D54" i="6" s="1"/>
  <c r="G54" i="6" s="1"/>
  <c r="Y54" i="6" s="1"/>
  <c r="T58" i="1"/>
  <c r="D58" i="6" s="1"/>
  <c r="G58" i="6" s="1"/>
  <c r="Y58" i="6" s="1"/>
  <c r="T59" i="1"/>
  <c r="D59" i="6" s="1"/>
  <c r="G59" i="6" s="1"/>
  <c r="Y59" i="6" s="1"/>
  <c r="T55" i="1"/>
  <c r="D55" i="6" s="1"/>
  <c r="G55" i="6" s="1"/>
  <c r="Y55" i="6" s="1"/>
  <c r="T57" i="1"/>
  <c r="D57" i="6" s="1"/>
  <c r="G57" i="6" s="1"/>
  <c r="AA57" i="6" s="1"/>
  <c r="T56" i="1"/>
  <c r="D56" i="6" s="1"/>
  <c r="G56" i="6" s="1"/>
  <c r="AA56" i="6" s="1"/>
  <c r="T126" i="1"/>
  <c r="D126" i="6" s="1"/>
  <c r="G126" i="6" s="1"/>
  <c r="U126" i="6" s="1"/>
  <c r="T142" i="1"/>
  <c r="D142" i="6" s="1"/>
  <c r="G142" i="6" s="1"/>
  <c r="U142" i="6" s="1"/>
  <c r="T87" i="1"/>
  <c r="D87" i="6" s="1"/>
  <c r="G87" i="6" s="1"/>
  <c r="U87" i="6" s="1"/>
  <c r="T116" i="1"/>
  <c r="D116" i="6" s="1"/>
  <c r="G116" i="6" s="1"/>
  <c r="U116" i="6" s="1"/>
  <c r="T125" i="1"/>
  <c r="D125" i="6" s="1"/>
  <c r="G125" i="6" s="1"/>
  <c r="V125" i="6" s="1"/>
  <c r="T35" i="1"/>
  <c r="D35" i="6" s="1"/>
  <c r="G35" i="6" s="1"/>
  <c r="V35" i="6" s="1"/>
  <c r="T115" i="1"/>
  <c r="D115" i="6" s="1"/>
  <c r="G115" i="6" s="1"/>
  <c r="V115" i="6" s="1"/>
  <c r="T127" i="1"/>
  <c r="D127" i="6" s="1"/>
  <c r="G127" i="6" s="1"/>
  <c r="V127" i="6" s="1"/>
  <c r="T141" i="1"/>
  <c r="D141" i="6" s="1"/>
  <c r="G141" i="6" s="1"/>
  <c r="V141" i="6" s="1"/>
  <c r="T143" i="1"/>
  <c r="D143" i="6" s="1"/>
  <c r="G143" i="6" s="1"/>
  <c r="V143" i="6" s="1"/>
  <c r="T88" i="1"/>
  <c r="D88" i="6" s="1"/>
  <c r="G88" i="6" s="1"/>
  <c r="W88" i="6" s="1"/>
  <c r="T114" i="1"/>
  <c r="T132" i="1"/>
  <c r="D132" i="6" s="1"/>
  <c r="G132" i="6" s="1"/>
  <c r="Z132" i="6" s="1"/>
  <c r="T47" i="1"/>
  <c r="D47" i="6" s="1"/>
  <c r="G47" i="6" s="1"/>
  <c r="X47" i="6" s="1"/>
  <c r="T36" i="1"/>
  <c r="D36" i="6" s="1"/>
  <c r="G36" i="6" s="1"/>
  <c r="X36" i="6" s="1"/>
  <c r="T37" i="1"/>
  <c r="D37" i="6" s="1"/>
  <c r="G37" i="6" s="1"/>
  <c r="X37" i="6" s="1"/>
  <c r="T147" i="1"/>
  <c r="D147" i="6" s="1"/>
  <c r="G147" i="6" s="1"/>
  <c r="V147" i="6" s="1"/>
  <c r="U25" i="1"/>
  <c r="T25" i="1"/>
  <c r="D25" i="6" s="1"/>
  <c r="G25" i="6" s="1"/>
  <c r="AA25" i="6" s="1"/>
  <c r="AO93" i="1"/>
  <c r="C93" i="4" s="1"/>
  <c r="E93" i="4" s="1"/>
  <c r="M93" i="1"/>
  <c r="M28" i="1"/>
  <c r="M137" i="1"/>
  <c r="M40" i="1"/>
  <c r="M22" i="1"/>
  <c r="M60" i="1"/>
  <c r="M30" i="1"/>
  <c r="M135" i="1"/>
  <c r="M94" i="1"/>
  <c r="M29" i="1"/>
  <c r="M41" i="1"/>
  <c r="M31" i="1"/>
  <c r="M26" i="1"/>
  <c r="M131" i="1"/>
  <c r="M32" i="1"/>
  <c r="M33" i="1"/>
  <c r="M138" i="1"/>
  <c r="M139" i="1"/>
  <c r="M27" i="1"/>
  <c r="M100" i="1"/>
  <c r="M101" i="1"/>
  <c r="M97" i="1"/>
  <c r="M90" i="1"/>
  <c r="M134" i="1"/>
  <c r="M39" i="1"/>
  <c r="M65" i="1"/>
  <c r="M66" i="1"/>
  <c r="M99" i="1"/>
  <c r="M140" i="1"/>
  <c r="M43" i="1"/>
  <c r="M23" i="1"/>
  <c r="M24" i="1"/>
  <c r="M95" i="1"/>
  <c r="M69" i="1"/>
  <c r="M50" i="1"/>
  <c r="M48" i="1"/>
  <c r="M63" i="1"/>
  <c r="M64" i="1"/>
  <c r="M96" i="1"/>
  <c r="M67" i="1"/>
  <c r="M51" i="1"/>
  <c r="M49" i="1"/>
  <c r="M68" i="1"/>
  <c r="M136" i="1"/>
  <c r="M52" i="1"/>
  <c r="M133" i="1"/>
  <c r="M82" i="1"/>
  <c r="M102" i="1"/>
  <c r="M112" i="1"/>
  <c r="M86" i="1"/>
  <c r="M89" i="1"/>
  <c r="M118" i="1"/>
  <c r="M124" i="1"/>
  <c r="M122" i="1"/>
  <c r="M130" i="1"/>
  <c r="M144" i="1"/>
  <c r="M117" i="1"/>
  <c r="M81" i="1"/>
  <c r="M83" i="1"/>
  <c r="M145" i="1"/>
  <c r="M119" i="1"/>
  <c r="M128" i="1"/>
  <c r="M123" i="1"/>
  <c r="M120" i="1"/>
  <c r="M84" i="1"/>
  <c r="M121" i="1"/>
  <c r="M110" i="1"/>
  <c r="M111" i="1"/>
  <c r="M98" i="1"/>
  <c r="M77" i="1"/>
  <c r="M129" i="1"/>
  <c r="M85" i="1"/>
  <c r="M109" i="1"/>
  <c r="M80" i="1"/>
  <c r="M103" i="1"/>
  <c r="M74" i="1"/>
  <c r="M44" i="1"/>
  <c r="M75" i="1"/>
  <c r="M46" i="1"/>
  <c r="M45" i="1"/>
  <c r="M16" i="1"/>
  <c r="M53" i="1"/>
  <c r="M17" i="1"/>
  <c r="M11" i="1"/>
  <c r="M6" i="1"/>
  <c r="M54" i="1"/>
  <c r="M58" i="1"/>
  <c r="M59" i="1"/>
  <c r="M55" i="1"/>
  <c r="M57" i="1"/>
  <c r="M56" i="1"/>
  <c r="M126" i="1"/>
  <c r="M142" i="1"/>
  <c r="M87" i="1"/>
  <c r="M116" i="1"/>
  <c r="M125" i="1"/>
  <c r="M35" i="1"/>
  <c r="M115" i="1"/>
  <c r="M127" i="1"/>
  <c r="M141" i="1"/>
  <c r="M143" i="1"/>
  <c r="M88" i="1"/>
  <c r="M12" i="1"/>
  <c r="M113" i="1"/>
  <c r="M114" i="1"/>
  <c r="M132" i="1"/>
  <c r="M19" i="1"/>
  <c r="M108" i="1"/>
  <c r="M105" i="1"/>
  <c r="M20" i="1"/>
  <c r="M21" i="1"/>
  <c r="M47" i="1"/>
  <c r="M36" i="1"/>
  <c r="M37" i="1"/>
  <c r="M42" i="1"/>
  <c r="M147" i="1"/>
  <c r="M25" i="1"/>
  <c r="L28" i="1"/>
  <c r="L93" i="1"/>
  <c r="L137" i="1"/>
  <c r="L40" i="1"/>
  <c r="L22" i="1"/>
  <c r="B22" i="6" s="1"/>
  <c r="L60" i="1"/>
  <c r="L30" i="1"/>
  <c r="L135" i="1"/>
  <c r="L94" i="1"/>
  <c r="L29" i="1"/>
  <c r="L41" i="1"/>
  <c r="L31" i="1"/>
  <c r="L131" i="1"/>
  <c r="L32" i="1"/>
  <c r="L33" i="1"/>
  <c r="L138" i="1"/>
  <c r="L139" i="1"/>
  <c r="L27" i="1"/>
  <c r="L100" i="1"/>
  <c r="L101" i="1"/>
  <c r="L97" i="1"/>
  <c r="L90" i="1"/>
  <c r="L134" i="1"/>
  <c r="L39" i="1"/>
  <c r="L65" i="1"/>
  <c r="L66" i="1"/>
  <c r="L99" i="1"/>
  <c r="L140" i="1"/>
  <c r="L43" i="1"/>
  <c r="L23" i="1"/>
  <c r="L24" i="1"/>
  <c r="L95" i="1"/>
  <c r="L69" i="1"/>
  <c r="L50" i="1"/>
  <c r="L48" i="1"/>
  <c r="B48" i="6" s="1"/>
  <c r="L63" i="1"/>
  <c r="L64" i="1"/>
  <c r="L96" i="1"/>
  <c r="L67" i="1"/>
  <c r="L51" i="1"/>
  <c r="L49" i="1"/>
  <c r="B49" i="6" s="1"/>
  <c r="L68" i="1"/>
  <c r="L136" i="1"/>
  <c r="L52" i="1"/>
  <c r="B52" i="6" s="1"/>
  <c r="L133" i="1"/>
  <c r="B133" i="6" s="1"/>
  <c r="L82" i="1"/>
  <c r="L102" i="1"/>
  <c r="L112" i="1"/>
  <c r="L86" i="1"/>
  <c r="L89" i="1"/>
  <c r="L118" i="1"/>
  <c r="L124" i="1"/>
  <c r="L122" i="1"/>
  <c r="L130" i="1"/>
  <c r="L144" i="1"/>
  <c r="L117" i="1"/>
  <c r="L81" i="1"/>
  <c r="L83" i="1"/>
  <c r="L145" i="1"/>
  <c r="L119" i="1"/>
  <c r="L128" i="1"/>
  <c r="L123" i="1"/>
  <c r="L120" i="1"/>
  <c r="L84" i="1"/>
  <c r="L121" i="1"/>
  <c r="L110" i="1"/>
  <c r="L111" i="1"/>
  <c r="L98" i="1"/>
  <c r="L77" i="1"/>
  <c r="L129" i="1"/>
  <c r="L85" i="1"/>
  <c r="L109" i="1"/>
  <c r="B109" i="6" s="1"/>
  <c r="L80" i="1"/>
  <c r="B80" i="6" s="1"/>
  <c r="L103" i="1"/>
  <c r="B103" i="6" s="1"/>
  <c r="L74" i="1"/>
  <c r="L44" i="1"/>
  <c r="L75" i="1"/>
  <c r="L46" i="1"/>
  <c r="L45" i="1"/>
  <c r="L16" i="1"/>
  <c r="L53" i="1"/>
  <c r="L17" i="1"/>
  <c r="L11" i="1"/>
  <c r="L6" i="1"/>
  <c r="L54" i="1"/>
  <c r="L58" i="1"/>
  <c r="L59" i="1"/>
  <c r="L55" i="1"/>
  <c r="L57" i="1"/>
  <c r="L56" i="1"/>
  <c r="L126" i="1"/>
  <c r="L142" i="1"/>
  <c r="L87" i="1"/>
  <c r="L116" i="1"/>
  <c r="L125" i="1"/>
  <c r="L35" i="1"/>
  <c r="L115" i="1"/>
  <c r="L127" i="1"/>
  <c r="L141" i="1"/>
  <c r="L143" i="1"/>
  <c r="L88" i="1"/>
  <c r="L12" i="1"/>
  <c r="L113" i="1"/>
  <c r="L114" i="1"/>
  <c r="L132" i="1"/>
  <c r="L19" i="1"/>
  <c r="L108" i="1"/>
  <c r="B108" i="6" s="1"/>
  <c r="L105" i="1"/>
  <c r="B105" i="6" s="1"/>
  <c r="L20" i="1"/>
  <c r="L21" i="1"/>
  <c r="L47" i="1"/>
  <c r="L36" i="1"/>
  <c r="L37" i="1"/>
  <c r="L42" i="1"/>
  <c r="L147" i="1"/>
  <c r="L25" i="1"/>
  <c r="AO25" i="1"/>
  <c r="C25" i="4" s="1"/>
  <c r="G25" i="4" s="1"/>
  <c r="AO28" i="1"/>
  <c r="C28" i="4" s="1"/>
  <c r="E28" i="4" s="1"/>
  <c r="AO137" i="1"/>
  <c r="C137" i="4" s="1"/>
  <c r="D137" i="4" s="1"/>
  <c r="AO40" i="1"/>
  <c r="C40" i="4" s="1"/>
  <c r="E40" i="4" s="1"/>
  <c r="AO22" i="1"/>
  <c r="C22" i="4" s="1"/>
  <c r="F22" i="4" s="1"/>
  <c r="AO60" i="1"/>
  <c r="C60" i="4" s="1"/>
  <c r="F60" i="4" s="1"/>
  <c r="AO30" i="1"/>
  <c r="C30" i="4" s="1"/>
  <c r="F30" i="4" s="1"/>
  <c r="AO135" i="1"/>
  <c r="C135" i="4" s="1"/>
  <c r="E135" i="4" s="1"/>
  <c r="AO94" i="1"/>
  <c r="C94" i="4" s="1"/>
  <c r="E94" i="4" s="1"/>
  <c r="AO29" i="1"/>
  <c r="C29" i="4" s="1"/>
  <c r="E29" i="4" s="1"/>
  <c r="AO41" i="1"/>
  <c r="C41" i="4" s="1"/>
  <c r="E41" i="4" s="1"/>
  <c r="AO31" i="1"/>
  <c r="C31" i="4" s="1"/>
  <c r="F31" i="4" s="1"/>
  <c r="AO26" i="1"/>
  <c r="C26" i="4" s="1"/>
  <c r="F26" i="4" s="1"/>
  <c r="AO131" i="1"/>
  <c r="C131" i="4" s="1"/>
  <c r="D131" i="4" s="1"/>
  <c r="AO32" i="1"/>
  <c r="C32" i="4" s="1"/>
  <c r="F32" i="4" s="1"/>
  <c r="AO33" i="1"/>
  <c r="C33" i="4" s="1"/>
  <c r="F33" i="4" s="1"/>
  <c r="AO138" i="1"/>
  <c r="C138" i="4" s="1"/>
  <c r="D138" i="4" s="1"/>
  <c r="AO139" i="1"/>
  <c r="C139" i="4" s="1"/>
  <c r="E139" i="4" s="1"/>
  <c r="AO27" i="1"/>
  <c r="C27" i="4" s="1"/>
  <c r="F27" i="4" s="1"/>
  <c r="AO100" i="1"/>
  <c r="C100" i="4" s="1"/>
  <c r="D100" i="4" s="1"/>
  <c r="AO101" i="1"/>
  <c r="C101" i="4" s="1"/>
  <c r="E101" i="4" s="1"/>
  <c r="AO97" i="1"/>
  <c r="C97" i="4" s="1"/>
  <c r="D97" i="4" s="1"/>
  <c r="AO90" i="1"/>
  <c r="C90" i="4" s="1"/>
  <c r="F90" i="4" s="1"/>
  <c r="AO134" i="1"/>
  <c r="C134" i="4" s="1"/>
  <c r="E134" i="4" s="1"/>
  <c r="AO39" i="1"/>
  <c r="C39" i="4" s="1"/>
  <c r="F39" i="4" s="1"/>
  <c r="AO65" i="1"/>
  <c r="C65" i="4" s="1"/>
  <c r="G65" i="4" s="1"/>
  <c r="AO66" i="1"/>
  <c r="C66" i="4" s="1"/>
  <c r="F66" i="4" s="1"/>
  <c r="AO99" i="1"/>
  <c r="C99" i="4" s="1"/>
  <c r="H99" i="4" s="1"/>
  <c r="AO140" i="1"/>
  <c r="C140" i="4" s="1"/>
  <c r="H140" i="4" s="1"/>
  <c r="AO43" i="1"/>
  <c r="C43" i="4" s="1"/>
  <c r="F43" i="4" s="1"/>
  <c r="AO23" i="1"/>
  <c r="C23" i="4" s="1"/>
  <c r="D23" i="4" s="1"/>
  <c r="AO24" i="1"/>
  <c r="C24" i="4" s="1"/>
  <c r="E24" i="4" s="1"/>
  <c r="AO95" i="1"/>
  <c r="C95" i="4" s="1"/>
  <c r="E95" i="4" s="1"/>
  <c r="AO69" i="1"/>
  <c r="C69" i="4" s="1"/>
  <c r="F69" i="4" s="1"/>
  <c r="AO50" i="1"/>
  <c r="C50" i="4" s="1"/>
  <c r="G50" i="4" s="1"/>
  <c r="AO48" i="1"/>
  <c r="C48" i="4" s="1"/>
  <c r="G48" i="4" s="1"/>
  <c r="AO63" i="1"/>
  <c r="C63" i="4" s="1"/>
  <c r="D63" i="4" s="1"/>
  <c r="AO64" i="1"/>
  <c r="C64" i="4" s="1"/>
  <c r="E64" i="4" s="1"/>
  <c r="AO67" i="1"/>
  <c r="C67" i="4" s="1"/>
  <c r="G67" i="4" s="1"/>
  <c r="AO51" i="1"/>
  <c r="C51" i="4" s="1"/>
  <c r="G51" i="4" s="1"/>
  <c r="AO49" i="1"/>
  <c r="C49" i="4" s="1"/>
  <c r="G49" i="4" s="1"/>
  <c r="AO68" i="1"/>
  <c r="C68" i="4" s="1"/>
  <c r="G68" i="4" s="1"/>
  <c r="AO136" i="1"/>
  <c r="C136" i="4" s="1"/>
  <c r="G136" i="4" s="1"/>
  <c r="AO52" i="1"/>
  <c r="C52" i="4" s="1"/>
  <c r="G52" i="4" s="1"/>
  <c r="AO133" i="1"/>
  <c r="C133" i="4" s="1"/>
  <c r="G133" i="4" s="1"/>
  <c r="AO82" i="1"/>
  <c r="C82" i="4" s="1"/>
  <c r="D82" i="4" s="1"/>
  <c r="AO102" i="1"/>
  <c r="C102" i="4" s="1"/>
  <c r="F102" i="4" s="1"/>
  <c r="AO112" i="1"/>
  <c r="C112" i="4" s="1"/>
  <c r="F112" i="4" s="1"/>
  <c r="AO86" i="1"/>
  <c r="C86" i="4" s="1"/>
  <c r="H86" i="4" s="1"/>
  <c r="AO89" i="1"/>
  <c r="C89" i="4" s="1"/>
  <c r="D89" i="4" s="1"/>
  <c r="AO118" i="1"/>
  <c r="C118" i="4" s="1"/>
  <c r="E118" i="4" s="1"/>
  <c r="AO124" i="1"/>
  <c r="C124" i="4" s="1"/>
  <c r="F124" i="4" s="1"/>
  <c r="AO122" i="1"/>
  <c r="C122" i="4" s="1"/>
  <c r="E122" i="4" s="1"/>
  <c r="AO130" i="1"/>
  <c r="C130" i="4" s="1"/>
  <c r="D130" i="4" s="1"/>
  <c r="AO144" i="1"/>
  <c r="C144" i="4" s="1"/>
  <c r="H144" i="4" s="1"/>
  <c r="AO117" i="1"/>
  <c r="C117" i="4" s="1"/>
  <c r="D117" i="4" s="1"/>
  <c r="AO81" i="1"/>
  <c r="C81" i="4" s="1"/>
  <c r="D81" i="4" s="1"/>
  <c r="AO83" i="1"/>
  <c r="C83" i="4" s="1"/>
  <c r="D83" i="4" s="1"/>
  <c r="AO145" i="1"/>
  <c r="C145" i="4" s="1"/>
  <c r="E145" i="4" s="1"/>
  <c r="AO119" i="1"/>
  <c r="C119" i="4" s="1"/>
  <c r="E119" i="4" s="1"/>
  <c r="AO128" i="1"/>
  <c r="C128" i="4" s="1"/>
  <c r="F128" i="4" s="1"/>
  <c r="AO123" i="1"/>
  <c r="C123" i="4" s="1"/>
  <c r="E123" i="4" s="1"/>
  <c r="AO120" i="1"/>
  <c r="C120" i="4" s="1"/>
  <c r="E120" i="4" s="1"/>
  <c r="AO84" i="1"/>
  <c r="C84" i="4" s="1"/>
  <c r="D84" i="4" s="1"/>
  <c r="AO121" i="1"/>
  <c r="C121" i="4" s="1"/>
  <c r="E121" i="4" s="1"/>
  <c r="AO110" i="1"/>
  <c r="C110" i="4" s="1"/>
  <c r="D110" i="4" s="1"/>
  <c r="AO111" i="1"/>
  <c r="C111" i="4" s="1"/>
  <c r="E111" i="4" s="1"/>
  <c r="AO98" i="1"/>
  <c r="C98" i="4" s="1"/>
  <c r="D98" i="4" s="1"/>
  <c r="AO77" i="1"/>
  <c r="C77" i="4" s="1"/>
  <c r="E77" i="4" s="1"/>
  <c r="AO129" i="1"/>
  <c r="C129" i="4" s="1"/>
  <c r="F129" i="4" s="1"/>
  <c r="AO85" i="1"/>
  <c r="C85" i="4" s="1"/>
  <c r="F85" i="4" s="1"/>
  <c r="AO109" i="1"/>
  <c r="C109" i="4" s="1"/>
  <c r="G109" i="4" s="1"/>
  <c r="AO80" i="1"/>
  <c r="C80" i="4" s="1"/>
  <c r="G80" i="4" s="1"/>
  <c r="AO103" i="1"/>
  <c r="C103" i="4" s="1"/>
  <c r="G103" i="4" s="1"/>
  <c r="AO44" i="1"/>
  <c r="C44" i="4" s="1"/>
  <c r="E44" i="4" s="1"/>
  <c r="AO46" i="1"/>
  <c r="C46" i="4" s="1"/>
  <c r="F46" i="4" s="1"/>
  <c r="AO45" i="1"/>
  <c r="C45" i="4" s="1"/>
  <c r="E45" i="4" s="1"/>
  <c r="AO16" i="1"/>
  <c r="C16" i="4" s="1"/>
  <c r="F16" i="4" s="1"/>
  <c r="AO53" i="1"/>
  <c r="C53" i="4" s="1"/>
  <c r="F53" i="4" s="1"/>
  <c r="AO17" i="1"/>
  <c r="C17" i="4" s="1"/>
  <c r="F17" i="4" s="1"/>
  <c r="AO11" i="1"/>
  <c r="C11" i="4" s="1"/>
  <c r="F11" i="4" s="1"/>
  <c r="AO6" i="1"/>
  <c r="C6" i="4" s="1"/>
  <c r="D6" i="4" s="1"/>
  <c r="AO54" i="1"/>
  <c r="C54" i="4" s="1"/>
  <c r="F54" i="4" s="1"/>
  <c r="AO58" i="1"/>
  <c r="C58" i="4" s="1"/>
  <c r="D58" i="4" s="1"/>
  <c r="AO59" i="1"/>
  <c r="C59" i="4" s="1"/>
  <c r="E59" i="4" s="1"/>
  <c r="AO55" i="1"/>
  <c r="C55" i="4" s="1"/>
  <c r="F55" i="4" s="1"/>
  <c r="AO57" i="1"/>
  <c r="C57" i="4" s="1"/>
  <c r="D57" i="4" s="1"/>
  <c r="AO56" i="1"/>
  <c r="C56" i="4" s="1"/>
  <c r="E56" i="4" s="1"/>
  <c r="AO126" i="1"/>
  <c r="C126" i="4" s="1"/>
  <c r="D126" i="4" s="1"/>
  <c r="AO142" i="1"/>
  <c r="C142" i="4" s="1"/>
  <c r="F142" i="4" s="1"/>
  <c r="AO87" i="1"/>
  <c r="C87" i="4" s="1"/>
  <c r="E87" i="4" s="1"/>
  <c r="AO116" i="1"/>
  <c r="C116" i="4" s="1"/>
  <c r="E116" i="4" s="1"/>
  <c r="AO125" i="1"/>
  <c r="C125" i="4" s="1"/>
  <c r="E125" i="4" s="1"/>
  <c r="AO35" i="1"/>
  <c r="C35" i="4" s="1"/>
  <c r="F35" i="4" s="1"/>
  <c r="AO115" i="1"/>
  <c r="C115" i="4" s="1"/>
  <c r="F115" i="4" s="1"/>
  <c r="AO127" i="1"/>
  <c r="C127" i="4" s="1"/>
  <c r="D127" i="4" s="1"/>
  <c r="AO141" i="1"/>
  <c r="C141" i="4" s="1"/>
  <c r="F141" i="4" s="1"/>
  <c r="AO143" i="1"/>
  <c r="C143" i="4" s="1"/>
  <c r="F143" i="4" s="1"/>
  <c r="AO88" i="1"/>
  <c r="C88" i="4" s="1"/>
  <c r="E88" i="4" s="1"/>
  <c r="AO12" i="1"/>
  <c r="C12" i="4" s="1"/>
  <c r="F12" i="4" s="1"/>
  <c r="AO113" i="1"/>
  <c r="C113" i="4" s="1"/>
  <c r="D113" i="4" s="1"/>
  <c r="AO114" i="1"/>
  <c r="C114" i="4" s="1"/>
  <c r="E114" i="4" s="1"/>
  <c r="AO132" i="1"/>
  <c r="C132" i="4" s="1"/>
  <c r="D132" i="4" s="1"/>
  <c r="AO19" i="1"/>
  <c r="C19" i="4" s="1"/>
  <c r="D19" i="4" s="1"/>
  <c r="AO108" i="1"/>
  <c r="C108" i="4" s="1"/>
  <c r="G108" i="4" s="1"/>
  <c r="AO105" i="1"/>
  <c r="C105" i="4" s="1"/>
  <c r="F105" i="4" s="1"/>
  <c r="AO20" i="1"/>
  <c r="C20" i="4" s="1"/>
  <c r="D20" i="4" s="1"/>
  <c r="AO21" i="1"/>
  <c r="C21" i="4" s="1"/>
  <c r="D21" i="4" s="1"/>
  <c r="AO47" i="1"/>
  <c r="C47" i="4" s="1"/>
  <c r="F47" i="4" s="1"/>
  <c r="AO36" i="1"/>
  <c r="C36" i="4" s="1"/>
  <c r="D36" i="4" s="1"/>
  <c r="AO37" i="1"/>
  <c r="C37" i="4" s="1"/>
  <c r="E37" i="4" s="1"/>
  <c r="AO42" i="1"/>
  <c r="C42" i="4" s="1"/>
  <c r="F42" i="4" s="1"/>
  <c r="AO147" i="1"/>
  <c r="C147" i="4" s="1"/>
  <c r="W84" i="1" l="1"/>
  <c r="D84" i="6"/>
  <c r="G84" i="6" s="1"/>
  <c r="W84" i="6" s="1"/>
  <c r="W117" i="1"/>
  <c r="D117" i="6"/>
  <c r="G117" i="6" s="1"/>
  <c r="V117" i="6" s="1"/>
  <c r="W112" i="1"/>
  <c r="D112" i="6"/>
  <c r="G112" i="6" s="1"/>
  <c r="V112" i="6" s="1"/>
  <c r="B37" i="6"/>
  <c r="A37" i="6"/>
  <c r="F37" i="6" s="1"/>
  <c r="O37" i="6" s="1"/>
  <c r="B12" i="6"/>
  <c r="A12" i="6"/>
  <c r="F12" i="6" s="1"/>
  <c r="O12" i="6" s="1"/>
  <c r="B116" i="6"/>
  <c r="A116" i="6"/>
  <c r="F116" i="6" s="1"/>
  <c r="L116" i="6" s="1"/>
  <c r="B58" i="6"/>
  <c r="A58" i="6"/>
  <c r="F58" i="6" s="1"/>
  <c r="P58" i="6" s="1"/>
  <c r="B46" i="6"/>
  <c r="A46" i="6"/>
  <c r="B111" i="6"/>
  <c r="A111" i="6"/>
  <c r="B145" i="6"/>
  <c r="A145" i="6"/>
  <c r="B118" i="6"/>
  <c r="A118" i="6"/>
  <c r="B51" i="6"/>
  <c r="A51" i="6"/>
  <c r="F51" i="6" s="1"/>
  <c r="R51" i="6" s="1"/>
  <c r="B24" i="6"/>
  <c r="A24" i="6"/>
  <c r="F24" i="6" s="1"/>
  <c r="R24" i="6" s="1"/>
  <c r="B134" i="6"/>
  <c r="A134" i="6"/>
  <c r="F134" i="6" s="1"/>
  <c r="P134" i="6" s="1"/>
  <c r="B33" i="6"/>
  <c r="A33" i="6"/>
  <c r="F33" i="6" s="1"/>
  <c r="O33" i="6" s="1"/>
  <c r="B135" i="6"/>
  <c r="A135" i="6"/>
  <c r="F135" i="6" s="1"/>
  <c r="M135" i="6" s="1"/>
  <c r="W120" i="1"/>
  <c r="D120" i="6"/>
  <c r="G120" i="6" s="1"/>
  <c r="V120" i="6" s="1"/>
  <c r="B36" i="6"/>
  <c r="A36" i="6"/>
  <c r="F36" i="6" s="1"/>
  <c r="O36" i="6" s="1"/>
  <c r="B88" i="6"/>
  <c r="A88" i="6"/>
  <c r="F88" i="6" s="1"/>
  <c r="N88" i="6" s="1"/>
  <c r="B87" i="6"/>
  <c r="A87" i="6"/>
  <c r="F87" i="6" s="1"/>
  <c r="L87" i="6" s="1"/>
  <c r="B54" i="6"/>
  <c r="A54" i="6"/>
  <c r="F54" i="6" s="1"/>
  <c r="P54" i="6" s="1"/>
  <c r="B75" i="6"/>
  <c r="A75" i="6"/>
  <c r="F75" i="6" s="1"/>
  <c r="M75" i="6" s="1"/>
  <c r="B110" i="6"/>
  <c r="A110" i="6"/>
  <c r="B83" i="6"/>
  <c r="A83" i="6"/>
  <c r="B89" i="6"/>
  <c r="A89" i="6"/>
  <c r="B67" i="6"/>
  <c r="A67" i="6"/>
  <c r="F67" i="6" s="1"/>
  <c r="R67" i="6" s="1"/>
  <c r="B23" i="6"/>
  <c r="A23" i="6"/>
  <c r="F23" i="6" s="1"/>
  <c r="R23" i="6" s="1"/>
  <c r="B90" i="6"/>
  <c r="A90" i="6"/>
  <c r="F90" i="6" s="1"/>
  <c r="P90" i="6" s="1"/>
  <c r="B32" i="6"/>
  <c r="A32" i="6"/>
  <c r="F32" i="6" s="1"/>
  <c r="O32" i="6" s="1"/>
  <c r="B30" i="6"/>
  <c r="A30" i="6"/>
  <c r="F30" i="6" s="1"/>
  <c r="M30" i="6" s="1"/>
  <c r="W85" i="1"/>
  <c r="D85" i="6"/>
  <c r="G85" i="6" s="1"/>
  <c r="AA85" i="6" s="1"/>
  <c r="W123" i="1"/>
  <c r="AO123" i="6" s="1"/>
  <c r="D123" i="6"/>
  <c r="G123" i="6" s="1"/>
  <c r="V123" i="6" s="1"/>
  <c r="W82" i="1"/>
  <c r="D82" i="6"/>
  <c r="G82" i="6" s="1"/>
  <c r="U82" i="6" s="1"/>
  <c r="B47" i="6"/>
  <c r="A47" i="6"/>
  <c r="F47" i="6" s="1"/>
  <c r="O47" i="6" s="1"/>
  <c r="B143" i="6"/>
  <c r="A143" i="6"/>
  <c r="F143" i="6" s="1"/>
  <c r="M143" i="6" s="1"/>
  <c r="B142" i="6"/>
  <c r="A142" i="6"/>
  <c r="F142" i="6" s="1"/>
  <c r="L142" i="6" s="1"/>
  <c r="F2" i="6"/>
  <c r="N2" i="6" s="1"/>
  <c r="B6" i="6"/>
  <c r="A6" i="6"/>
  <c r="F6" i="6" s="1"/>
  <c r="P6" i="6" s="1"/>
  <c r="B44" i="6"/>
  <c r="A44" i="6"/>
  <c r="F44" i="6" s="1"/>
  <c r="M44" i="6" s="1"/>
  <c r="B121" i="6"/>
  <c r="A121" i="6"/>
  <c r="B81" i="6"/>
  <c r="A81" i="6"/>
  <c r="B86" i="6"/>
  <c r="A86" i="6"/>
  <c r="B96" i="6"/>
  <c r="A96" i="6"/>
  <c r="F96" i="6" s="1"/>
  <c r="R96" i="6" s="1"/>
  <c r="B43" i="6"/>
  <c r="A43" i="6"/>
  <c r="F43" i="6" s="1"/>
  <c r="R43" i="6" s="1"/>
  <c r="B97" i="6"/>
  <c r="A97" i="6"/>
  <c r="F97" i="6" s="1"/>
  <c r="P97" i="6" s="1"/>
  <c r="B131" i="6"/>
  <c r="A131" i="6"/>
  <c r="F131" i="6" s="1"/>
  <c r="O131" i="6" s="1"/>
  <c r="B60" i="6"/>
  <c r="A60" i="6"/>
  <c r="F60" i="6" s="1"/>
  <c r="M60" i="6" s="1"/>
  <c r="W77" i="1"/>
  <c r="D77" i="6"/>
  <c r="G77" i="6" s="1"/>
  <c r="Y77" i="6" s="1"/>
  <c r="W128" i="1"/>
  <c r="D128" i="6"/>
  <c r="G128" i="6" s="1"/>
  <c r="V128" i="6" s="1"/>
  <c r="G133" i="6"/>
  <c r="AA133" i="6" s="1"/>
  <c r="F133" i="6"/>
  <c r="R133" i="6" s="1"/>
  <c r="B21" i="6"/>
  <c r="A21" i="6"/>
  <c r="F21" i="6" s="1"/>
  <c r="N21" i="6" s="1"/>
  <c r="B141" i="6"/>
  <c r="A141" i="6"/>
  <c r="F141" i="6" s="1"/>
  <c r="M141" i="6" s="1"/>
  <c r="B126" i="6"/>
  <c r="A126" i="6"/>
  <c r="F126" i="6" s="1"/>
  <c r="L126" i="6" s="1"/>
  <c r="B11" i="6"/>
  <c r="A11" i="6"/>
  <c r="F11" i="6" s="1"/>
  <c r="O11" i="6" s="1"/>
  <c r="B74" i="6"/>
  <c r="A74" i="6"/>
  <c r="F74" i="6" s="1"/>
  <c r="L74" i="6" s="1"/>
  <c r="B84" i="6"/>
  <c r="A84" i="6"/>
  <c r="F84" i="6" s="1"/>
  <c r="N84" i="6" s="1"/>
  <c r="B117" i="6"/>
  <c r="A117" i="6"/>
  <c r="F117" i="6" s="1"/>
  <c r="M117" i="6" s="1"/>
  <c r="B112" i="6"/>
  <c r="A112" i="6"/>
  <c r="B64" i="6"/>
  <c r="A64" i="6"/>
  <c r="F64" i="6" s="1"/>
  <c r="R64" i="6" s="1"/>
  <c r="B140" i="6"/>
  <c r="A140" i="6"/>
  <c r="F140" i="6" s="1"/>
  <c r="R140" i="6" s="1"/>
  <c r="B101" i="6"/>
  <c r="A101" i="6"/>
  <c r="F101" i="6" s="1"/>
  <c r="P101" i="6" s="1"/>
  <c r="B26" i="6"/>
  <c r="A26" i="6"/>
  <c r="F26" i="6" s="1"/>
  <c r="N26" i="6" s="1"/>
  <c r="B40" i="6"/>
  <c r="A40" i="6"/>
  <c r="F40" i="6" s="1"/>
  <c r="M40" i="6" s="1"/>
  <c r="W114" i="1"/>
  <c r="D114" i="6"/>
  <c r="G114" i="6" s="1"/>
  <c r="Y114" i="6" s="1"/>
  <c r="W98" i="1"/>
  <c r="D98" i="6"/>
  <c r="G98" i="6" s="1"/>
  <c r="Y98" i="6" s="1"/>
  <c r="W119" i="1"/>
  <c r="D119" i="6"/>
  <c r="G119" i="6" s="1"/>
  <c r="V119" i="6" s="1"/>
  <c r="W124" i="1"/>
  <c r="D124" i="6"/>
  <c r="G124" i="6" s="1"/>
  <c r="V124" i="6" s="1"/>
  <c r="B20" i="6"/>
  <c r="A20" i="6"/>
  <c r="F20" i="6" s="1"/>
  <c r="N20" i="6" s="1"/>
  <c r="B127" i="6"/>
  <c r="A127" i="6"/>
  <c r="F127" i="6" s="1"/>
  <c r="M127" i="6" s="1"/>
  <c r="B56" i="6"/>
  <c r="A56" i="6"/>
  <c r="F56" i="6" s="1"/>
  <c r="R56" i="6" s="1"/>
  <c r="B17" i="6"/>
  <c r="A17" i="6"/>
  <c r="B85" i="6"/>
  <c r="A85" i="6"/>
  <c r="B120" i="6"/>
  <c r="A120" i="6"/>
  <c r="F120" i="6" s="1"/>
  <c r="M120" i="6" s="1"/>
  <c r="B144" i="6"/>
  <c r="A144" i="6"/>
  <c r="F144" i="6" s="1"/>
  <c r="M144" i="6" s="1"/>
  <c r="B102" i="6"/>
  <c r="A102" i="6"/>
  <c r="F102" i="6" s="1"/>
  <c r="M102" i="6" s="1"/>
  <c r="B63" i="6"/>
  <c r="A63" i="6"/>
  <c r="F63" i="6" s="1"/>
  <c r="R63" i="6" s="1"/>
  <c r="B99" i="6"/>
  <c r="A99" i="6"/>
  <c r="F99" i="6" s="1"/>
  <c r="R99" i="6" s="1"/>
  <c r="B100" i="6"/>
  <c r="A100" i="6"/>
  <c r="F100" i="6" s="1"/>
  <c r="P100" i="6" s="1"/>
  <c r="B31" i="6"/>
  <c r="A31" i="6"/>
  <c r="F31" i="6" s="1"/>
  <c r="N31" i="6" s="1"/>
  <c r="B137" i="6"/>
  <c r="A137" i="6"/>
  <c r="F137" i="6" s="1"/>
  <c r="M137" i="6" s="1"/>
  <c r="W111" i="1"/>
  <c r="D111" i="6"/>
  <c r="G111" i="6" s="1"/>
  <c r="X111" i="6" s="1"/>
  <c r="W145" i="1"/>
  <c r="D145" i="6"/>
  <c r="G145" i="6" s="1"/>
  <c r="V145" i="6" s="1"/>
  <c r="W118" i="1"/>
  <c r="D118" i="6"/>
  <c r="G118" i="6" s="1"/>
  <c r="V118" i="6" s="1"/>
  <c r="B25" i="6"/>
  <c r="A25" i="6"/>
  <c r="F25" i="6" s="1"/>
  <c r="R25" i="6" s="1"/>
  <c r="B132" i="6"/>
  <c r="A132" i="6"/>
  <c r="F132" i="6" s="1"/>
  <c r="Q132" i="6" s="1"/>
  <c r="B115" i="6"/>
  <c r="A115" i="6"/>
  <c r="F115" i="6" s="1"/>
  <c r="M115" i="6" s="1"/>
  <c r="B57" i="6"/>
  <c r="A57" i="6"/>
  <c r="F57" i="6" s="1"/>
  <c r="R57" i="6" s="1"/>
  <c r="A53" i="6"/>
  <c r="F53" i="6" s="1"/>
  <c r="O53" i="6" s="1"/>
  <c r="B53" i="6"/>
  <c r="B129" i="6"/>
  <c r="A129" i="6"/>
  <c r="F129" i="6" s="1"/>
  <c r="P129" i="6" s="1"/>
  <c r="B123" i="6"/>
  <c r="A123" i="6"/>
  <c r="F123" i="6" s="1"/>
  <c r="M123" i="6" s="1"/>
  <c r="B130" i="6"/>
  <c r="A130" i="6"/>
  <c r="F130" i="6" s="1"/>
  <c r="M130" i="6" s="1"/>
  <c r="B82" i="6"/>
  <c r="A82" i="6"/>
  <c r="F82" i="6" s="1"/>
  <c r="L82" i="6" s="1"/>
  <c r="B50" i="6"/>
  <c r="A50" i="6"/>
  <c r="F50" i="6" s="1"/>
  <c r="R50" i="6" s="1"/>
  <c r="B66" i="6"/>
  <c r="A66" i="6"/>
  <c r="F66" i="6" s="1"/>
  <c r="Q66" i="6" s="1"/>
  <c r="B27" i="6"/>
  <c r="A27" i="6"/>
  <c r="F27" i="6" s="1"/>
  <c r="O27" i="6" s="1"/>
  <c r="B41" i="6"/>
  <c r="A41" i="6"/>
  <c r="F41" i="6" s="1"/>
  <c r="M41" i="6" s="1"/>
  <c r="B93" i="6"/>
  <c r="A93" i="6"/>
  <c r="F93" i="6" s="1"/>
  <c r="M93" i="6" s="1"/>
  <c r="AI8" i="1"/>
  <c r="I8" i="4" s="1"/>
  <c r="N8" i="4" s="1"/>
  <c r="E8" i="6"/>
  <c r="W17" i="1"/>
  <c r="D17" i="6"/>
  <c r="G17" i="6" s="1"/>
  <c r="X17" i="6" s="1"/>
  <c r="W110" i="1"/>
  <c r="D110" i="6"/>
  <c r="G110" i="6" s="1"/>
  <c r="X110" i="6" s="1"/>
  <c r="W83" i="1"/>
  <c r="D83" i="6"/>
  <c r="G83" i="6" s="1"/>
  <c r="V83" i="6" s="1"/>
  <c r="W89" i="1"/>
  <c r="D89" i="6"/>
  <c r="G89" i="6" s="1"/>
  <c r="V89" i="6" s="1"/>
  <c r="B147" i="6"/>
  <c r="A147" i="6"/>
  <c r="F147" i="6" s="1"/>
  <c r="M147" i="6" s="1"/>
  <c r="B114" i="6"/>
  <c r="A114" i="6"/>
  <c r="F114" i="6" s="1"/>
  <c r="P114" i="6" s="1"/>
  <c r="B35" i="6"/>
  <c r="A35" i="6"/>
  <c r="F35" i="6" s="1"/>
  <c r="M35" i="6" s="1"/>
  <c r="B55" i="6"/>
  <c r="A55" i="6"/>
  <c r="F55" i="6" s="1"/>
  <c r="P55" i="6" s="1"/>
  <c r="B16" i="6"/>
  <c r="A16" i="6"/>
  <c r="F16" i="6" s="1"/>
  <c r="N16" i="6" s="1"/>
  <c r="A77" i="6"/>
  <c r="B77" i="6"/>
  <c r="B128" i="6"/>
  <c r="A128" i="6"/>
  <c r="F128" i="6" s="1"/>
  <c r="M128" i="6" s="1"/>
  <c r="B122" i="6"/>
  <c r="A122" i="6"/>
  <c r="F122" i="6" s="1"/>
  <c r="M122" i="6" s="1"/>
  <c r="B136" i="6"/>
  <c r="A136" i="6"/>
  <c r="F136" i="6" s="1"/>
  <c r="R136" i="6" s="1"/>
  <c r="B69" i="6"/>
  <c r="A69" i="6"/>
  <c r="F69" i="6" s="1"/>
  <c r="R69" i="6" s="1"/>
  <c r="B65" i="6"/>
  <c r="A65" i="6"/>
  <c r="F65" i="6" s="1"/>
  <c r="Q65" i="6" s="1"/>
  <c r="B139" i="6"/>
  <c r="A139" i="6"/>
  <c r="F139" i="6" s="1"/>
  <c r="O139" i="6" s="1"/>
  <c r="A29" i="6"/>
  <c r="F29" i="6" s="1"/>
  <c r="M29" i="6" s="1"/>
  <c r="B29" i="6"/>
  <c r="B28" i="6"/>
  <c r="A28" i="6"/>
  <c r="F28" i="6" s="1"/>
  <c r="M28" i="6" s="1"/>
  <c r="B19" i="6"/>
  <c r="A19" i="6"/>
  <c r="F19" i="6" s="1"/>
  <c r="R19" i="6" s="1"/>
  <c r="W121" i="1"/>
  <c r="D121" i="6"/>
  <c r="G121" i="6" s="1"/>
  <c r="W121" i="6" s="1"/>
  <c r="W81" i="1"/>
  <c r="D81" i="6"/>
  <c r="G81" i="6" s="1"/>
  <c r="V81" i="6" s="1"/>
  <c r="W86" i="1"/>
  <c r="D86" i="6"/>
  <c r="G86" i="6" s="1"/>
  <c r="V86" i="6" s="1"/>
  <c r="B42" i="6"/>
  <c r="A42" i="6"/>
  <c r="F42" i="6" s="1"/>
  <c r="N42" i="6" s="1"/>
  <c r="B113" i="6"/>
  <c r="A113" i="6"/>
  <c r="F113" i="6" s="1"/>
  <c r="P113" i="6" s="1"/>
  <c r="B125" i="6"/>
  <c r="A125" i="6"/>
  <c r="F125" i="6" s="1"/>
  <c r="M125" i="6" s="1"/>
  <c r="B59" i="6"/>
  <c r="A59" i="6"/>
  <c r="F59" i="6" s="1"/>
  <c r="P59" i="6" s="1"/>
  <c r="B45" i="6"/>
  <c r="A45" i="6"/>
  <c r="F45" i="6" s="1"/>
  <c r="M45" i="6" s="1"/>
  <c r="B98" i="6"/>
  <c r="A98" i="6"/>
  <c r="B119" i="6"/>
  <c r="A119" i="6"/>
  <c r="F119" i="6" s="1"/>
  <c r="M119" i="6" s="1"/>
  <c r="B124" i="6"/>
  <c r="A124" i="6"/>
  <c r="B68" i="6"/>
  <c r="A68" i="6"/>
  <c r="F68" i="6" s="1"/>
  <c r="R68" i="6" s="1"/>
  <c r="B95" i="6"/>
  <c r="A95" i="6"/>
  <c r="F95" i="6" s="1"/>
  <c r="R95" i="6" s="1"/>
  <c r="B39" i="6"/>
  <c r="A39" i="6"/>
  <c r="F39" i="6" s="1"/>
  <c r="P39" i="6" s="1"/>
  <c r="B138" i="6"/>
  <c r="A138" i="6"/>
  <c r="F138" i="6" s="1"/>
  <c r="O138" i="6" s="1"/>
  <c r="B94" i="6"/>
  <c r="A94" i="6"/>
  <c r="F94" i="6" s="1"/>
  <c r="M94" i="6" s="1"/>
  <c r="AQ123" i="6"/>
  <c r="AN113" i="6"/>
  <c r="AU113" i="6"/>
  <c r="AT113" i="6"/>
  <c r="AR113" i="6"/>
  <c r="AS113" i="6"/>
  <c r="AP113" i="6"/>
  <c r="AO113" i="6"/>
  <c r="AQ113" i="6"/>
  <c r="AD34" i="6"/>
  <c r="AI34" i="6"/>
  <c r="AH34" i="6"/>
  <c r="AK34" i="6"/>
  <c r="AJ34" i="6"/>
  <c r="AF34" i="6"/>
  <c r="AG34" i="6"/>
  <c r="AE34" i="6"/>
  <c r="AN18" i="6"/>
  <c r="AU18" i="6"/>
  <c r="AT18" i="6"/>
  <c r="AS18" i="6"/>
  <c r="AR18" i="6"/>
  <c r="AQ18" i="6"/>
  <c r="AP18" i="6"/>
  <c r="AO18" i="6"/>
  <c r="AU77" i="6"/>
  <c r="AT77" i="6"/>
  <c r="AS77" i="6"/>
  <c r="AN77" i="6"/>
  <c r="AR77" i="6"/>
  <c r="AQ77" i="6"/>
  <c r="AP77" i="6"/>
  <c r="AO77" i="6"/>
  <c r="AU128" i="6"/>
  <c r="AS128" i="6"/>
  <c r="AN128" i="6"/>
  <c r="AQ128" i="6"/>
  <c r="AR128" i="6"/>
  <c r="AP128" i="6"/>
  <c r="AT128" i="6"/>
  <c r="AO128" i="6"/>
  <c r="AD106" i="6"/>
  <c r="AK106" i="6"/>
  <c r="AJ106" i="6"/>
  <c r="AH106" i="6"/>
  <c r="AG106" i="6"/>
  <c r="AI106" i="6"/>
  <c r="AF106" i="6"/>
  <c r="AE106" i="6"/>
  <c r="AD76" i="6"/>
  <c r="AI76" i="6"/>
  <c r="AJ76" i="6"/>
  <c r="AH76" i="6"/>
  <c r="AK76" i="6"/>
  <c r="AG76" i="6"/>
  <c r="AF76" i="6"/>
  <c r="AE76" i="6"/>
  <c r="AN8" i="6"/>
  <c r="AU8" i="6"/>
  <c r="AT8" i="6"/>
  <c r="AS8" i="6"/>
  <c r="AR8" i="6"/>
  <c r="AQ8" i="6"/>
  <c r="AP8" i="6"/>
  <c r="AO8" i="6"/>
  <c r="AD62" i="6"/>
  <c r="AK62" i="6"/>
  <c r="AI62" i="6"/>
  <c r="AH62" i="6"/>
  <c r="AF62" i="6"/>
  <c r="AE62" i="6"/>
  <c r="AG62" i="6"/>
  <c r="AJ62" i="6"/>
  <c r="AR104" i="6"/>
  <c r="AT104" i="6"/>
  <c r="AN104" i="6"/>
  <c r="AU104" i="6"/>
  <c r="AO104" i="6"/>
  <c r="AP104" i="6"/>
  <c r="AS104" i="6"/>
  <c r="AQ104" i="6"/>
  <c r="AU38" i="6"/>
  <c r="AT38" i="6"/>
  <c r="AS38" i="6"/>
  <c r="AN38" i="6"/>
  <c r="AR38" i="6"/>
  <c r="AQ38" i="6"/>
  <c r="AP38" i="6"/>
  <c r="AO38" i="6"/>
  <c r="AN5" i="6"/>
  <c r="AT5" i="6"/>
  <c r="AU5" i="6"/>
  <c r="AP5" i="6"/>
  <c r="AR5" i="6"/>
  <c r="AQ5" i="6"/>
  <c r="AS5" i="6"/>
  <c r="AO5" i="6"/>
  <c r="AR72" i="6"/>
  <c r="AN72" i="6"/>
  <c r="AU72" i="6"/>
  <c r="AQ72" i="6"/>
  <c r="AS72" i="6"/>
  <c r="AP72" i="6"/>
  <c r="AO72" i="6"/>
  <c r="AT72" i="6"/>
  <c r="AN124" i="6"/>
  <c r="AT124" i="6"/>
  <c r="AS124" i="6"/>
  <c r="AR124" i="6"/>
  <c r="AQ124" i="6"/>
  <c r="AU124" i="6"/>
  <c r="AP124" i="6"/>
  <c r="AO124" i="6"/>
  <c r="AN10" i="6"/>
  <c r="AU10" i="6"/>
  <c r="AT10" i="6"/>
  <c r="AS10" i="6"/>
  <c r="AR10" i="6"/>
  <c r="AQ10" i="6"/>
  <c r="AP10" i="6"/>
  <c r="AO10" i="6"/>
  <c r="AN137" i="6"/>
  <c r="AU137" i="6"/>
  <c r="AT137" i="6"/>
  <c r="AS137" i="6"/>
  <c r="AO137" i="6"/>
  <c r="AR137" i="6"/>
  <c r="AQ137" i="6"/>
  <c r="AP137" i="6"/>
  <c r="AU61" i="6"/>
  <c r="AT61" i="6"/>
  <c r="AS61" i="6"/>
  <c r="AN61" i="6"/>
  <c r="AR61" i="6"/>
  <c r="AQ61" i="6"/>
  <c r="AP61" i="6"/>
  <c r="AO61" i="6"/>
  <c r="AN52" i="6"/>
  <c r="AS52" i="6"/>
  <c r="AU52" i="6"/>
  <c r="AR52" i="6"/>
  <c r="AQ52" i="6"/>
  <c r="AP52" i="6"/>
  <c r="AT52" i="6"/>
  <c r="AO52" i="6"/>
  <c r="AD146" i="6"/>
  <c r="AJ146" i="6"/>
  <c r="AI146" i="6"/>
  <c r="AG146" i="6"/>
  <c r="AK146" i="6"/>
  <c r="AF146" i="6"/>
  <c r="AH146" i="6"/>
  <c r="AE146" i="6"/>
  <c r="AN2" i="6"/>
  <c r="AU2" i="6"/>
  <c r="AT2" i="6"/>
  <c r="AS2" i="6"/>
  <c r="AR2" i="6"/>
  <c r="AP2" i="6"/>
  <c r="AQ2" i="6"/>
  <c r="AO2" i="6"/>
  <c r="AU111" i="6"/>
  <c r="AT111" i="6"/>
  <c r="AN111" i="6"/>
  <c r="AS111" i="6"/>
  <c r="AR111" i="6"/>
  <c r="AP111" i="6"/>
  <c r="AO111" i="6"/>
  <c r="AQ111" i="6"/>
  <c r="AN145" i="6"/>
  <c r="AU145" i="6"/>
  <c r="AT145" i="6"/>
  <c r="AR145" i="6"/>
  <c r="AO145" i="6"/>
  <c r="AS145" i="6"/>
  <c r="AQ145" i="6"/>
  <c r="AP145" i="6"/>
  <c r="AN118" i="6"/>
  <c r="AT118" i="6"/>
  <c r="AU118" i="6"/>
  <c r="AQ118" i="6"/>
  <c r="AP118" i="6"/>
  <c r="AS118" i="6"/>
  <c r="AR118" i="6"/>
  <c r="AO118" i="6"/>
  <c r="AN105" i="6"/>
  <c r="AU105" i="6"/>
  <c r="AT105" i="6"/>
  <c r="AS105" i="6"/>
  <c r="AR105" i="6"/>
  <c r="AO105" i="6"/>
  <c r="AP105" i="6"/>
  <c r="AQ105" i="6"/>
  <c r="F46" i="6"/>
  <c r="M46" i="6" s="1"/>
  <c r="G46" i="6"/>
  <c r="V46" i="6" s="1"/>
  <c r="G19" i="6"/>
  <c r="AA19" i="6" s="1"/>
  <c r="AD72" i="6"/>
  <c r="AK72" i="6"/>
  <c r="AJ72" i="6"/>
  <c r="AG72" i="6"/>
  <c r="AF72" i="6"/>
  <c r="AI72" i="6"/>
  <c r="AE72" i="6"/>
  <c r="AH72" i="6"/>
  <c r="AD4" i="6"/>
  <c r="AJ4" i="6"/>
  <c r="AI4" i="6"/>
  <c r="AK4" i="6"/>
  <c r="AG4" i="6"/>
  <c r="AE4" i="6"/>
  <c r="AH4" i="6"/>
  <c r="AF4" i="6"/>
  <c r="AK14" i="6"/>
  <c r="AJ14" i="6"/>
  <c r="AD14" i="6"/>
  <c r="AI14" i="6"/>
  <c r="AF14" i="6"/>
  <c r="AH14" i="6"/>
  <c r="AE14" i="6"/>
  <c r="AG14" i="6"/>
  <c r="AD70" i="6"/>
  <c r="AK70" i="6"/>
  <c r="AJ70" i="6"/>
  <c r="AH70" i="6"/>
  <c r="AG70" i="6"/>
  <c r="AF70" i="6"/>
  <c r="AE70" i="6"/>
  <c r="AI70" i="6"/>
  <c r="AD2" i="6"/>
  <c r="AK2" i="6"/>
  <c r="AJ2" i="6"/>
  <c r="AI2" i="6"/>
  <c r="AG2" i="6"/>
  <c r="AH2" i="6"/>
  <c r="AF2" i="6"/>
  <c r="AE2" i="6"/>
  <c r="AN34" i="6"/>
  <c r="AU34" i="6"/>
  <c r="AT34" i="6"/>
  <c r="AS34" i="6"/>
  <c r="AR34" i="6"/>
  <c r="AQ34" i="6"/>
  <c r="AP34" i="6"/>
  <c r="AO34" i="6"/>
  <c r="AU14" i="6"/>
  <c r="AT14" i="6"/>
  <c r="AS14" i="6"/>
  <c r="AN14" i="6"/>
  <c r="AR14" i="6"/>
  <c r="AQ14" i="6"/>
  <c r="AO14" i="6"/>
  <c r="AP14" i="6"/>
  <c r="AU6" i="6"/>
  <c r="AT6" i="6"/>
  <c r="AS6" i="6"/>
  <c r="AN6" i="6"/>
  <c r="AR6" i="6"/>
  <c r="AQ6" i="6"/>
  <c r="AP6" i="6"/>
  <c r="AO6" i="6"/>
  <c r="AK79" i="6"/>
  <c r="AD79" i="6"/>
  <c r="AJ79" i="6"/>
  <c r="AI79" i="6"/>
  <c r="AF79" i="6"/>
  <c r="AH79" i="6"/>
  <c r="AE79" i="6"/>
  <c r="AG79" i="6"/>
  <c r="AN114" i="6"/>
  <c r="AU114" i="6"/>
  <c r="AT114" i="6"/>
  <c r="AR114" i="6"/>
  <c r="AS114" i="6"/>
  <c r="AP114" i="6"/>
  <c r="AO114" i="6"/>
  <c r="AQ114" i="6"/>
  <c r="AN16" i="6"/>
  <c r="AU16" i="6"/>
  <c r="AT16" i="6"/>
  <c r="AS16" i="6"/>
  <c r="AP16" i="6"/>
  <c r="AR16" i="6"/>
  <c r="AO16" i="6"/>
  <c r="AQ16" i="6"/>
  <c r="AD92" i="6"/>
  <c r="AK92" i="6"/>
  <c r="AI92" i="6"/>
  <c r="AJ92" i="6"/>
  <c r="AG92" i="6"/>
  <c r="AH92" i="6"/>
  <c r="AF92" i="6"/>
  <c r="AE92" i="6"/>
  <c r="AU4" i="6"/>
  <c r="AT4" i="6"/>
  <c r="AS4" i="6"/>
  <c r="AN4" i="6"/>
  <c r="AO4" i="6"/>
  <c r="AR4" i="6"/>
  <c r="AP4" i="6"/>
  <c r="AQ4" i="6"/>
  <c r="AN17" i="6"/>
  <c r="AU17" i="6"/>
  <c r="AT17" i="6"/>
  <c r="AS17" i="6"/>
  <c r="AP17" i="6"/>
  <c r="AR17" i="6"/>
  <c r="AO17" i="6"/>
  <c r="AQ17" i="6"/>
  <c r="AN110" i="6"/>
  <c r="AT110" i="6"/>
  <c r="AS110" i="6"/>
  <c r="AP110" i="6"/>
  <c r="AQ110" i="6"/>
  <c r="AU110" i="6"/>
  <c r="AO110" i="6"/>
  <c r="AR110" i="6"/>
  <c r="AN83" i="6"/>
  <c r="AU83" i="6"/>
  <c r="AT83" i="6"/>
  <c r="AS83" i="6"/>
  <c r="AR83" i="6"/>
  <c r="AQ83" i="6"/>
  <c r="AP83" i="6"/>
  <c r="AO83" i="6"/>
  <c r="AN89" i="6"/>
  <c r="AU89" i="6"/>
  <c r="AT89" i="6"/>
  <c r="AS89" i="6"/>
  <c r="AQ89" i="6"/>
  <c r="AO89" i="6"/>
  <c r="AP89" i="6"/>
  <c r="AR89" i="6"/>
  <c r="AN108" i="6"/>
  <c r="AU108" i="6"/>
  <c r="AS108" i="6"/>
  <c r="AR108" i="6"/>
  <c r="AQ108" i="6"/>
  <c r="AT108" i="6"/>
  <c r="AP108" i="6"/>
  <c r="AO108" i="6"/>
  <c r="AD104" i="6"/>
  <c r="AK104" i="6"/>
  <c r="AJ104" i="6"/>
  <c r="AH104" i="6"/>
  <c r="AG104" i="6"/>
  <c r="AF104" i="6"/>
  <c r="AE104" i="6"/>
  <c r="AI104" i="6"/>
  <c r="AD78" i="6"/>
  <c r="AK78" i="6"/>
  <c r="AH78" i="6"/>
  <c r="AF78" i="6"/>
  <c r="AJ78" i="6"/>
  <c r="AE78" i="6"/>
  <c r="AG78" i="6"/>
  <c r="AI78" i="6"/>
  <c r="AD61" i="6"/>
  <c r="AJ61" i="6"/>
  <c r="AK61" i="6"/>
  <c r="AG61" i="6"/>
  <c r="AE61" i="6"/>
  <c r="AI61" i="6"/>
  <c r="AF61" i="6"/>
  <c r="AH61" i="6"/>
  <c r="AN9" i="6"/>
  <c r="AU9" i="6"/>
  <c r="AT9" i="6"/>
  <c r="AS9" i="6"/>
  <c r="AR9" i="6"/>
  <c r="AQ9" i="6"/>
  <c r="AP9" i="6"/>
  <c r="AO9" i="6"/>
  <c r="AN13" i="6"/>
  <c r="AT13" i="6"/>
  <c r="AU13" i="6"/>
  <c r="AR13" i="6"/>
  <c r="AQ13" i="6"/>
  <c r="AS13" i="6"/>
  <c r="AP13" i="6"/>
  <c r="AO13" i="6"/>
  <c r="AN106" i="6"/>
  <c r="AU106" i="6"/>
  <c r="AT106" i="6"/>
  <c r="AS106" i="6"/>
  <c r="AQ106" i="6"/>
  <c r="AR106" i="6"/>
  <c r="AO106" i="6"/>
  <c r="AP106" i="6"/>
  <c r="AN146" i="6"/>
  <c r="AU146" i="6"/>
  <c r="AT146" i="6"/>
  <c r="AR146" i="6"/>
  <c r="AO146" i="6"/>
  <c r="AP146" i="6"/>
  <c r="AS146" i="6"/>
  <c r="AQ146" i="6"/>
  <c r="AD10" i="6"/>
  <c r="AJ10" i="6"/>
  <c r="AH10" i="6"/>
  <c r="AG10" i="6"/>
  <c r="AF10" i="6"/>
  <c r="AK10" i="6"/>
  <c r="AI10" i="6"/>
  <c r="AE10" i="6"/>
  <c r="AN82" i="6"/>
  <c r="AU82" i="6"/>
  <c r="AT82" i="6"/>
  <c r="AS82" i="6"/>
  <c r="AP82" i="6"/>
  <c r="AR82" i="6"/>
  <c r="AO82" i="6"/>
  <c r="AQ82" i="6"/>
  <c r="F48" i="6"/>
  <c r="R48" i="6" s="1"/>
  <c r="G48" i="6"/>
  <c r="AA48" i="6" s="1"/>
  <c r="AD9" i="6"/>
  <c r="AK9" i="6"/>
  <c r="AH9" i="6"/>
  <c r="AG9" i="6"/>
  <c r="AJ9" i="6"/>
  <c r="AF9" i="6"/>
  <c r="AI9" i="6"/>
  <c r="AE9" i="6"/>
  <c r="AN98" i="6"/>
  <c r="AU98" i="6"/>
  <c r="AT98" i="6"/>
  <c r="AS98" i="6"/>
  <c r="AR98" i="6"/>
  <c r="AQ98" i="6"/>
  <c r="AO98" i="6"/>
  <c r="AP98" i="6"/>
  <c r="AN62" i="6"/>
  <c r="AT62" i="6"/>
  <c r="AS62" i="6"/>
  <c r="AU62" i="6"/>
  <c r="AQ62" i="6"/>
  <c r="AP62" i="6"/>
  <c r="AR62" i="6"/>
  <c r="AO62" i="6"/>
  <c r="AN81" i="6"/>
  <c r="AU81" i="6"/>
  <c r="AT81" i="6"/>
  <c r="AS81" i="6"/>
  <c r="AP81" i="6"/>
  <c r="AR81" i="6"/>
  <c r="AO81" i="6"/>
  <c r="AQ81" i="6"/>
  <c r="AU103" i="6"/>
  <c r="AT103" i="6"/>
  <c r="AS103" i="6"/>
  <c r="AN103" i="6"/>
  <c r="AR103" i="6"/>
  <c r="AO103" i="6"/>
  <c r="AP103" i="6"/>
  <c r="AQ103" i="6"/>
  <c r="G22" i="6"/>
  <c r="V22" i="6" s="1"/>
  <c r="F22" i="6"/>
  <c r="M22" i="6" s="1"/>
  <c r="AD73" i="6"/>
  <c r="AK73" i="6"/>
  <c r="AG73" i="6"/>
  <c r="AF73" i="6"/>
  <c r="AI73" i="6"/>
  <c r="AE73" i="6"/>
  <c r="AJ73" i="6"/>
  <c r="AH73" i="6"/>
  <c r="AN76" i="6"/>
  <c r="AT76" i="6"/>
  <c r="AU76" i="6"/>
  <c r="AS76" i="6"/>
  <c r="AR76" i="6"/>
  <c r="AQ76" i="6"/>
  <c r="AP76" i="6"/>
  <c r="AO76" i="6"/>
  <c r="AN73" i="6"/>
  <c r="AU73" i="6"/>
  <c r="AT73" i="6"/>
  <c r="AS73" i="6"/>
  <c r="AR73" i="6"/>
  <c r="AQ73" i="6"/>
  <c r="AP73" i="6"/>
  <c r="AO73" i="6"/>
  <c r="AU85" i="6"/>
  <c r="AT85" i="6"/>
  <c r="AS85" i="6"/>
  <c r="AN85" i="6"/>
  <c r="AR85" i="6"/>
  <c r="AQ85" i="6"/>
  <c r="AP85" i="6"/>
  <c r="AO85" i="6"/>
  <c r="AD3" i="6"/>
  <c r="AI3" i="6"/>
  <c r="AJ3" i="6"/>
  <c r="AH3" i="6"/>
  <c r="AK3" i="6"/>
  <c r="AF3" i="6"/>
  <c r="AG3" i="6"/>
  <c r="AE3" i="6"/>
  <c r="AU119" i="6"/>
  <c r="AT119" i="6"/>
  <c r="AN119" i="6"/>
  <c r="AS119" i="6"/>
  <c r="AR119" i="6"/>
  <c r="AQ119" i="6"/>
  <c r="AP119" i="6"/>
  <c r="AO119" i="6"/>
  <c r="AN91" i="6"/>
  <c r="AU91" i="6"/>
  <c r="AT91" i="6"/>
  <c r="AS91" i="6"/>
  <c r="AR91" i="6"/>
  <c r="AQ91" i="6"/>
  <c r="AP91" i="6"/>
  <c r="AO91" i="6"/>
  <c r="AN121" i="6"/>
  <c r="AU121" i="6"/>
  <c r="AT121" i="6"/>
  <c r="AQ121" i="6"/>
  <c r="AP121" i="6"/>
  <c r="AS121" i="6"/>
  <c r="AO121" i="6"/>
  <c r="AR121" i="6"/>
  <c r="AN86" i="6"/>
  <c r="AU86" i="6"/>
  <c r="AQ86" i="6"/>
  <c r="AS86" i="6"/>
  <c r="AP86" i="6"/>
  <c r="AR86" i="6"/>
  <c r="AT86" i="6"/>
  <c r="AO86" i="6"/>
  <c r="AN49" i="6"/>
  <c r="AU49" i="6"/>
  <c r="AT49" i="6"/>
  <c r="AS49" i="6"/>
  <c r="AP49" i="6"/>
  <c r="AQ49" i="6"/>
  <c r="AO49" i="6"/>
  <c r="AR49" i="6"/>
  <c r="AD8" i="6"/>
  <c r="AK8" i="6"/>
  <c r="AI8" i="6"/>
  <c r="AG8" i="6"/>
  <c r="AF8" i="6"/>
  <c r="AE8" i="6"/>
  <c r="AJ8" i="6"/>
  <c r="AH8" i="6"/>
  <c r="AD5" i="6"/>
  <c r="AK5" i="6"/>
  <c r="AJ5" i="6"/>
  <c r="AH5" i="6"/>
  <c r="AG5" i="6"/>
  <c r="AF5" i="6"/>
  <c r="AE5" i="6"/>
  <c r="AI5" i="6"/>
  <c r="AU71" i="6"/>
  <c r="AT71" i="6"/>
  <c r="AS71" i="6"/>
  <c r="AN71" i="6"/>
  <c r="AR71" i="6"/>
  <c r="AQ71" i="6"/>
  <c r="AP71" i="6"/>
  <c r="AO71" i="6"/>
  <c r="AN78" i="6"/>
  <c r="AT78" i="6"/>
  <c r="AU78" i="6"/>
  <c r="AS78" i="6"/>
  <c r="AR78" i="6"/>
  <c r="AQ78" i="6"/>
  <c r="AP78" i="6"/>
  <c r="AO78" i="6"/>
  <c r="AN84" i="6"/>
  <c r="AS84" i="6"/>
  <c r="AR84" i="6"/>
  <c r="AQ84" i="6"/>
  <c r="AP84" i="6"/>
  <c r="AT84" i="6"/>
  <c r="AU84" i="6"/>
  <c r="AO84" i="6"/>
  <c r="AU117" i="6"/>
  <c r="AT117" i="6"/>
  <c r="AN117" i="6"/>
  <c r="AS117" i="6"/>
  <c r="AR117" i="6"/>
  <c r="AQ117" i="6"/>
  <c r="AP117" i="6"/>
  <c r="AO117" i="6"/>
  <c r="AN112" i="6"/>
  <c r="AT112" i="6"/>
  <c r="AS112" i="6"/>
  <c r="AU112" i="6"/>
  <c r="AP112" i="6"/>
  <c r="AO112" i="6"/>
  <c r="AQ112" i="6"/>
  <c r="AR112" i="6"/>
  <c r="AR80" i="6"/>
  <c r="AN80" i="6"/>
  <c r="AT80" i="6"/>
  <c r="AP80" i="6"/>
  <c r="AU80" i="6"/>
  <c r="AS80" i="6"/>
  <c r="AO80" i="6"/>
  <c r="AQ80" i="6"/>
  <c r="AD7" i="6"/>
  <c r="AK7" i="6"/>
  <c r="AJ7" i="6"/>
  <c r="AG7" i="6"/>
  <c r="AF7" i="6"/>
  <c r="AE7" i="6"/>
  <c r="AI7" i="6"/>
  <c r="AH7" i="6"/>
  <c r="AD91" i="6"/>
  <c r="AI91" i="6"/>
  <c r="AH91" i="6"/>
  <c r="AK91" i="6"/>
  <c r="AG91" i="6"/>
  <c r="AF91" i="6"/>
  <c r="AE91" i="6"/>
  <c r="AJ91" i="6"/>
  <c r="AD13" i="6"/>
  <c r="AK13" i="6"/>
  <c r="AI13" i="6"/>
  <c r="AH13" i="6"/>
  <c r="AJ13" i="6"/>
  <c r="AF13" i="6"/>
  <c r="AE13" i="6"/>
  <c r="AG13" i="6"/>
  <c r="AN92" i="6"/>
  <c r="AT92" i="6"/>
  <c r="AU92" i="6"/>
  <c r="AS92" i="6"/>
  <c r="AR92" i="6"/>
  <c r="AQ92" i="6"/>
  <c r="AP92" i="6"/>
  <c r="AO92" i="6"/>
  <c r="AU79" i="6"/>
  <c r="AT79" i="6"/>
  <c r="AS79" i="6"/>
  <c r="AN79" i="6"/>
  <c r="AR79" i="6"/>
  <c r="AQ79" i="6"/>
  <c r="AO79" i="6"/>
  <c r="AP79" i="6"/>
  <c r="AN3" i="6"/>
  <c r="AR3" i="6"/>
  <c r="AQ3" i="6"/>
  <c r="AP3" i="6"/>
  <c r="AS3" i="6"/>
  <c r="AT3" i="6"/>
  <c r="AU3" i="6"/>
  <c r="AO3" i="6"/>
  <c r="AR15" i="6"/>
  <c r="AN15" i="6"/>
  <c r="AT15" i="6"/>
  <c r="AS15" i="6"/>
  <c r="AP15" i="6"/>
  <c r="AU15" i="6"/>
  <c r="AO15" i="6"/>
  <c r="AQ15" i="6"/>
  <c r="AN107" i="6"/>
  <c r="AU107" i="6"/>
  <c r="AT107" i="6"/>
  <c r="AS107" i="6"/>
  <c r="AR107" i="6"/>
  <c r="AQ107" i="6"/>
  <c r="AP107" i="6"/>
  <c r="AO107" i="6"/>
  <c r="AS120" i="6"/>
  <c r="AN120" i="6"/>
  <c r="AT120" i="6"/>
  <c r="AU120" i="6"/>
  <c r="AQ120" i="6"/>
  <c r="AP120" i="6"/>
  <c r="AO120" i="6"/>
  <c r="AR120" i="6"/>
  <c r="AN42" i="6"/>
  <c r="AU42" i="6"/>
  <c r="AT42" i="6"/>
  <c r="AS42" i="6"/>
  <c r="AR42" i="6"/>
  <c r="AQ42" i="6"/>
  <c r="AP42" i="6"/>
  <c r="AO42" i="6"/>
  <c r="AU109" i="6"/>
  <c r="AT109" i="6"/>
  <c r="AN109" i="6"/>
  <c r="AS109" i="6"/>
  <c r="AR109" i="6"/>
  <c r="AP109" i="6"/>
  <c r="AQ109" i="6"/>
  <c r="AO109" i="6"/>
  <c r="AD18" i="6"/>
  <c r="AH18" i="6"/>
  <c r="AK18" i="6"/>
  <c r="AJ18" i="6"/>
  <c r="AI18" i="6"/>
  <c r="AG18" i="6"/>
  <c r="AF18" i="6"/>
  <c r="AE18" i="6"/>
  <c r="AD107" i="6"/>
  <c r="AI107" i="6"/>
  <c r="AJ107" i="6"/>
  <c r="AH107" i="6"/>
  <c r="AK107" i="6"/>
  <c r="AG107" i="6"/>
  <c r="AF107" i="6"/>
  <c r="AE107" i="6"/>
  <c r="AD71" i="6"/>
  <c r="AK71" i="6"/>
  <c r="AI71" i="6"/>
  <c r="AG71" i="6"/>
  <c r="AF71" i="6"/>
  <c r="AE71" i="6"/>
  <c r="AH71" i="6"/>
  <c r="AJ71" i="6"/>
  <c r="AD38" i="6"/>
  <c r="AK38" i="6"/>
  <c r="AJ38" i="6"/>
  <c r="AI38" i="6"/>
  <c r="AH38" i="6"/>
  <c r="AG38" i="6"/>
  <c r="AF38" i="6"/>
  <c r="AE38" i="6"/>
  <c r="AD15" i="6"/>
  <c r="AK15" i="6"/>
  <c r="AJ15" i="6"/>
  <c r="AI15" i="6"/>
  <c r="AG15" i="6"/>
  <c r="AF15" i="6"/>
  <c r="AH15" i="6"/>
  <c r="AE15" i="6"/>
  <c r="AR7" i="6"/>
  <c r="AN7" i="6"/>
  <c r="AU7" i="6"/>
  <c r="AS7" i="6"/>
  <c r="AT7" i="6"/>
  <c r="AQ7" i="6"/>
  <c r="AP7" i="6"/>
  <c r="AO7" i="6"/>
  <c r="AN70" i="6"/>
  <c r="AT70" i="6"/>
  <c r="AU70" i="6"/>
  <c r="AS70" i="6"/>
  <c r="AP70" i="6"/>
  <c r="AR70" i="6"/>
  <c r="AQ70" i="6"/>
  <c r="AO70" i="6"/>
  <c r="G43" i="6"/>
  <c r="AA43" i="6" s="1"/>
  <c r="W122" i="1"/>
  <c r="W133" i="1"/>
  <c r="J147" i="1"/>
  <c r="W130" i="1"/>
  <c r="W102" i="1"/>
  <c r="W68" i="1"/>
  <c r="W144" i="1"/>
  <c r="W25" i="1"/>
  <c r="W37" i="1"/>
  <c r="W96" i="1"/>
  <c r="W67" i="1"/>
  <c r="W47" i="1"/>
  <c r="W63" i="1"/>
  <c r="W141" i="1"/>
  <c r="W126" i="1"/>
  <c r="W53" i="1"/>
  <c r="W43" i="1"/>
  <c r="W100" i="1"/>
  <c r="W41" i="1"/>
  <c r="W28" i="1"/>
  <c r="W127" i="1"/>
  <c r="W56" i="1"/>
  <c r="W66" i="1"/>
  <c r="W27" i="1"/>
  <c r="W29" i="1"/>
  <c r="W36" i="1"/>
  <c r="W64" i="1"/>
  <c r="W147" i="1"/>
  <c r="W115" i="1"/>
  <c r="W57" i="1"/>
  <c r="W44" i="1"/>
  <c r="W65" i="1"/>
  <c r="W139" i="1"/>
  <c r="W94" i="1"/>
  <c r="W50" i="1"/>
  <c r="W45" i="1"/>
  <c r="W35" i="1"/>
  <c r="W55" i="1"/>
  <c r="W39" i="1"/>
  <c r="W138" i="1"/>
  <c r="W135" i="1"/>
  <c r="W48" i="1"/>
  <c r="W136" i="1"/>
  <c r="W125" i="1"/>
  <c r="W69" i="1"/>
  <c r="W30" i="1"/>
  <c r="W59" i="1"/>
  <c r="W116" i="1"/>
  <c r="W58" i="1"/>
  <c r="W95" i="1"/>
  <c r="W90" i="1"/>
  <c r="W32" i="1"/>
  <c r="W60" i="1"/>
  <c r="W33" i="1"/>
  <c r="W88" i="1"/>
  <c r="W87" i="1"/>
  <c r="W54" i="1"/>
  <c r="W24" i="1"/>
  <c r="W97" i="1"/>
  <c r="W131" i="1"/>
  <c r="W40" i="1"/>
  <c r="W132" i="1"/>
  <c r="W134" i="1"/>
  <c r="W143" i="1"/>
  <c r="W142" i="1"/>
  <c r="W51" i="1"/>
  <c r="W23" i="1"/>
  <c r="W101" i="1"/>
  <c r="W26" i="1"/>
  <c r="W93" i="1"/>
  <c r="W22" i="1"/>
  <c r="W46" i="1"/>
  <c r="W19" i="1"/>
  <c r="V117" i="1"/>
  <c r="V130" i="1"/>
  <c r="V136" i="1"/>
  <c r="V133" i="1"/>
  <c r="V25" i="1"/>
  <c r="V142" i="1"/>
  <c r="V89" i="1"/>
  <c r="AI7" i="1"/>
  <c r="I7" i="4" s="1"/>
  <c r="N7" i="4" s="1"/>
  <c r="AI9" i="1"/>
  <c r="I9" i="4" s="1"/>
  <c r="N9" i="4" s="1"/>
  <c r="AI25" i="1"/>
  <c r="I25" i="4" s="1"/>
  <c r="M25" i="4" s="1"/>
  <c r="J144" i="1"/>
  <c r="AU144" i="7" s="1"/>
  <c r="AW144" i="7" s="1"/>
  <c r="J21" i="1"/>
  <c r="C21" i="7" s="1"/>
  <c r="F21" i="7" s="1"/>
  <c r="J20" i="1"/>
  <c r="C20" i="7" s="1"/>
  <c r="F20" i="7" s="1"/>
  <c r="J36" i="1"/>
  <c r="C36" i="7" s="1"/>
  <c r="G36" i="7" s="1"/>
  <c r="J145" i="1"/>
  <c r="N145" i="7" s="1"/>
  <c r="P145" i="7" s="1"/>
  <c r="J42" i="1"/>
  <c r="Y42" i="7" s="1"/>
  <c r="AB42" i="7" s="1"/>
  <c r="J37" i="1"/>
  <c r="N37" i="7" s="1"/>
  <c r="R37" i="7" s="1"/>
  <c r="J47" i="1"/>
  <c r="Y47" i="7" s="1"/>
  <c r="AC47" i="7" s="1"/>
  <c r="J141" i="1"/>
  <c r="Y141" i="7" s="1"/>
  <c r="AA141" i="7" s="1"/>
  <c r="J11" i="1"/>
  <c r="Y11" i="7" s="1"/>
  <c r="AC11" i="7" s="1"/>
  <c r="J74" i="1"/>
  <c r="Y74" i="7" s="1"/>
  <c r="Z74" i="7" s="1"/>
  <c r="J99" i="1"/>
  <c r="AU99" i="7" s="1"/>
  <c r="BB99" i="7" s="1"/>
  <c r="J100" i="1"/>
  <c r="C100" i="7" s="1"/>
  <c r="H100" i="7" s="1"/>
  <c r="J111" i="1"/>
  <c r="N111" i="7" s="1"/>
  <c r="R111" i="7" s="1"/>
  <c r="J108" i="1"/>
  <c r="AJ108" i="7" s="1"/>
  <c r="AQ108" i="7" s="1"/>
  <c r="J136" i="1"/>
  <c r="AJ136" i="7" s="1"/>
  <c r="AQ136" i="7" s="1"/>
  <c r="J126" i="1"/>
  <c r="C126" i="7" s="1"/>
  <c r="D126" i="7" s="1"/>
  <c r="J48" i="1"/>
  <c r="AJ48" i="7" s="1"/>
  <c r="AQ48" i="7" s="1"/>
  <c r="J31" i="1"/>
  <c r="Y31" i="7" s="1"/>
  <c r="AB31" i="7" s="1"/>
  <c r="J40" i="1"/>
  <c r="N40" i="7" s="1"/>
  <c r="P40" i="7" s="1"/>
  <c r="J60" i="1"/>
  <c r="Y60" i="7" s="1"/>
  <c r="AA60" i="7" s="1"/>
  <c r="J137" i="1"/>
  <c r="C137" i="7" s="1"/>
  <c r="E137" i="7" s="1"/>
  <c r="J19" i="1"/>
  <c r="C19" i="7" s="1"/>
  <c r="J19" i="7" s="1"/>
  <c r="J127" i="1"/>
  <c r="C127" i="7" s="1"/>
  <c r="E127" i="7" s="1"/>
  <c r="J56" i="1"/>
  <c r="N56" i="7" s="1"/>
  <c r="U56" i="7" s="1"/>
  <c r="J17" i="1"/>
  <c r="Y17" i="7" s="1"/>
  <c r="AC17" i="7" s="1"/>
  <c r="J103" i="1"/>
  <c r="AJ103" i="7" s="1"/>
  <c r="AQ103" i="7" s="1"/>
  <c r="J110" i="1"/>
  <c r="C110" i="7" s="1"/>
  <c r="G110" i="7" s="1"/>
  <c r="J83" i="1"/>
  <c r="C83" i="7" s="1"/>
  <c r="E83" i="7" s="1"/>
  <c r="J89" i="1"/>
  <c r="C89" i="7" s="1"/>
  <c r="E89" i="7" s="1"/>
  <c r="J68" i="1"/>
  <c r="AJ68" i="7" s="1"/>
  <c r="AQ68" i="7" s="1"/>
  <c r="J50" i="1"/>
  <c r="AJ50" i="7" s="1"/>
  <c r="AQ50" i="7" s="1"/>
  <c r="J66" i="1"/>
  <c r="Y66" i="7" s="1"/>
  <c r="AE66" i="7" s="1"/>
  <c r="J27" i="1"/>
  <c r="Y27" i="7" s="1"/>
  <c r="AC27" i="7" s="1"/>
  <c r="J29" i="1"/>
  <c r="N29" i="7" s="1"/>
  <c r="P29" i="7" s="1"/>
  <c r="J93" i="1"/>
  <c r="N93" i="7" s="1"/>
  <c r="P93" i="7" s="1"/>
  <c r="J41" i="1"/>
  <c r="N41" i="7" s="1"/>
  <c r="P41" i="7" s="1"/>
  <c r="J132" i="1"/>
  <c r="C132" i="7" s="1"/>
  <c r="I132" i="7" s="1"/>
  <c r="J115" i="1"/>
  <c r="Y115" i="7" s="1"/>
  <c r="AA115" i="7" s="1"/>
  <c r="J57" i="1"/>
  <c r="C57" i="7" s="1"/>
  <c r="J57" i="7" s="1"/>
  <c r="J53" i="1"/>
  <c r="Y53" i="7" s="1"/>
  <c r="AC53" i="7" s="1"/>
  <c r="J80" i="1"/>
  <c r="AJ80" i="7" s="1"/>
  <c r="AQ80" i="7" s="1"/>
  <c r="J81" i="1"/>
  <c r="C81" i="7" s="1"/>
  <c r="E81" i="7" s="1"/>
  <c r="J86" i="1"/>
  <c r="AU86" i="7" s="1"/>
  <c r="AW86" i="7" s="1"/>
  <c r="J49" i="1"/>
  <c r="AJ49" i="7" s="1"/>
  <c r="AQ49" i="7" s="1"/>
  <c r="J69" i="1"/>
  <c r="Y69" i="7" s="1"/>
  <c r="AF69" i="7" s="1"/>
  <c r="J65" i="1"/>
  <c r="AJ65" i="7" s="1"/>
  <c r="AP65" i="7" s="1"/>
  <c r="J139" i="1"/>
  <c r="N139" i="7" s="1"/>
  <c r="R139" i="7" s="1"/>
  <c r="J94" i="1"/>
  <c r="N94" i="7" s="1"/>
  <c r="P94" i="7" s="1"/>
  <c r="J28" i="1"/>
  <c r="N28" i="7" s="1"/>
  <c r="P28" i="7" s="1"/>
  <c r="J114" i="1"/>
  <c r="N114" i="7" s="1"/>
  <c r="S114" i="7" s="1"/>
  <c r="J35" i="1"/>
  <c r="Y35" i="7" s="1"/>
  <c r="AA35" i="7" s="1"/>
  <c r="J55" i="1"/>
  <c r="Y55" i="7" s="1"/>
  <c r="AD55" i="7" s="1"/>
  <c r="J16" i="1"/>
  <c r="Y16" i="7" s="1"/>
  <c r="AB16" i="7" s="1"/>
  <c r="J109" i="1"/>
  <c r="AJ109" i="7" s="1"/>
  <c r="AQ109" i="7" s="1"/>
  <c r="J84" i="1"/>
  <c r="C84" i="7" s="1"/>
  <c r="F84" i="7" s="1"/>
  <c r="J117" i="1"/>
  <c r="C117" i="7" s="1"/>
  <c r="E117" i="7" s="1"/>
  <c r="J112" i="1"/>
  <c r="Y112" i="7" s="1"/>
  <c r="AA112" i="7" s="1"/>
  <c r="J51" i="1"/>
  <c r="AJ51" i="7" s="1"/>
  <c r="AQ51" i="7" s="1"/>
  <c r="J95" i="1"/>
  <c r="N95" i="7" s="1"/>
  <c r="U95" i="7" s="1"/>
  <c r="J39" i="1"/>
  <c r="Y39" i="7" s="1"/>
  <c r="AD39" i="7" s="1"/>
  <c r="J138" i="1"/>
  <c r="C138" i="7" s="1"/>
  <c r="G138" i="7" s="1"/>
  <c r="J88" i="1"/>
  <c r="N88" i="7" s="1"/>
  <c r="Q88" i="7" s="1"/>
  <c r="J87" i="1"/>
  <c r="N87" i="7" s="1"/>
  <c r="O87" i="7" s="1"/>
  <c r="J54" i="1"/>
  <c r="Y54" i="7" s="1"/>
  <c r="AD54" i="7" s="1"/>
  <c r="J75" i="1"/>
  <c r="Y75" i="7" s="1"/>
  <c r="AA75" i="7" s="1"/>
  <c r="J77" i="1"/>
  <c r="N77" i="7" s="1"/>
  <c r="S77" i="7" s="1"/>
  <c r="J128" i="1"/>
  <c r="Y128" i="7" s="1"/>
  <c r="AA128" i="7" s="1"/>
  <c r="J122" i="1"/>
  <c r="N122" i="7" s="1"/>
  <c r="P122" i="7" s="1"/>
  <c r="J133" i="1"/>
  <c r="AJ133" i="7" s="1"/>
  <c r="AQ133" i="7" s="1"/>
  <c r="J64" i="1"/>
  <c r="N64" i="7" s="1"/>
  <c r="U64" i="7" s="1"/>
  <c r="J43" i="1"/>
  <c r="Y43" i="7" s="1"/>
  <c r="AF43" i="7" s="1"/>
  <c r="J97" i="1"/>
  <c r="C97" i="7" s="1"/>
  <c r="H97" i="7" s="1"/>
  <c r="J131" i="1"/>
  <c r="C131" i="7" s="1"/>
  <c r="G131" i="7" s="1"/>
  <c r="J26" i="1"/>
  <c r="Y26" i="7" s="1"/>
  <c r="AB26" i="7" s="1"/>
  <c r="J135" i="1"/>
  <c r="N135" i="7" s="1"/>
  <c r="P135" i="7" s="1"/>
  <c r="J113" i="1"/>
  <c r="C113" i="7" s="1"/>
  <c r="H113" i="7" s="1"/>
  <c r="J125" i="1"/>
  <c r="N125" i="7" s="1"/>
  <c r="P125" i="7" s="1"/>
  <c r="J59" i="1"/>
  <c r="N59" i="7" s="1"/>
  <c r="S59" i="7" s="1"/>
  <c r="J45" i="1"/>
  <c r="N45" i="7" s="1"/>
  <c r="P45" i="7" s="1"/>
  <c r="J85" i="1"/>
  <c r="Y85" i="7" s="1"/>
  <c r="AF85" i="7" s="1"/>
  <c r="J102" i="1"/>
  <c r="Y102" i="7" s="1"/>
  <c r="AA102" i="7" s="1"/>
  <c r="J67" i="1"/>
  <c r="AJ67" i="7" s="1"/>
  <c r="AQ67" i="7" s="1"/>
  <c r="J24" i="1"/>
  <c r="N24" i="7" s="1"/>
  <c r="U24" i="7" s="1"/>
  <c r="J134" i="1"/>
  <c r="N134" i="7" s="1"/>
  <c r="S134" i="7" s="1"/>
  <c r="J33" i="1"/>
  <c r="Y33" i="7" s="1"/>
  <c r="AC33" i="7" s="1"/>
  <c r="J30" i="1"/>
  <c r="Y30" i="7" s="1"/>
  <c r="AA30" i="7" s="1"/>
  <c r="J118" i="1"/>
  <c r="N118" i="7" s="1"/>
  <c r="P118" i="7" s="1"/>
  <c r="J12" i="1"/>
  <c r="Y12" i="7" s="1"/>
  <c r="AC12" i="7" s="1"/>
  <c r="J116" i="1"/>
  <c r="N116" i="7" s="1"/>
  <c r="O116" i="7" s="1"/>
  <c r="J58" i="1"/>
  <c r="C58" i="7" s="1"/>
  <c r="H58" i="7" s="1"/>
  <c r="J46" i="1"/>
  <c r="Y46" i="7" s="1"/>
  <c r="AA46" i="7" s="1"/>
  <c r="J129" i="1"/>
  <c r="Y129" i="7" s="1"/>
  <c r="AD129" i="7" s="1"/>
  <c r="J123" i="1"/>
  <c r="N123" i="7" s="1"/>
  <c r="P123" i="7" s="1"/>
  <c r="J130" i="1"/>
  <c r="C130" i="7" s="1"/>
  <c r="E130" i="7" s="1"/>
  <c r="J82" i="1"/>
  <c r="C82" i="7" s="1"/>
  <c r="D82" i="7" s="1"/>
  <c r="J96" i="1"/>
  <c r="AJ96" i="7" s="1"/>
  <c r="AQ96" i="7" s="1"/>
  <c r="J23" i="1"/>
  <c r="C23" i="7" s="1"/>
  <c r="J23" i="7" s="1"/>
  <c r="J90" i="1"/>
  <c r="Y90" i="7" s="1"/>
  <c r="AD90" i="7" s="1"/>
  <c r="J32" i="1"/>
  <c r="Y32" i="7" s="1"/>
  <c r="AC32" i="7" s="1"/>
  <c r="J22" i="1"/>
  <c r="Y22" i="7" s="1"/>
  <c r="AA22" i="7" s="1"/>
  <c r="J25" i="1"/>
  <c r="AJ25" i="7" s="1"/>
  <c r="AQ25" i="7" s="1"/>
  <c r="J143" i="1"/>
  <c r="Y143" i="7" s="1"/>
  <c r="AA143" i="7" s="1"/>
  <c r="J142" i="1"/>
  <c r="Y142" i="7" s="1"/>
  <c r="Z142" i="7" s="1"/>
  <c r="J6" i="1"/>
  <c r="C6" i="7" s="1"/>
  <c r="H6" i="7" s="1"/>
  <c r="J44" i="1"/>
  <c r="N44" i="7" s="1"/>
  <c r="P44" i="7" s="1"/>
  <c r="J98" i="1"/>
  <c r="C98" i="7" s="1"/>
  <c r="H98" i="7" s="1"/>
  <c r="J124" i="1"/>
  <c r="Y124" i="7" s="1"/>
  <c r="AA124" i="7" s="1"/>
  <c r="J52" i="1"/>
  <c r="AJ52" i="7" s="1"/>
  <c r="AQ52" i="7" s="1"/>
  <c r="J63" i="1"/>
  <c r="C63" i="7" s="1"/>
  <c r="J63" i="7" s="1"/>
  <c r="J140" i="1"/>
  <c r="AU140" i="7" s="1"/>
  <c r="BB140" i="7" s="1"/>
  <c r="J101" i="1"/>
  <c r="N101" i="7" s="1"/>
  <c r="S101" i="7" s="1"/>
  <c r="J121" i="1"/>
  <c r="N121" i="7" s="1"/>
  <c r="Q121" i="7" s="1"/>
  <c r="J120" i="1"/>
  <c r="N120" i="7" s="1"/>
  <c r="P120" i="7" s="1"/>
  <c r="J119" i="1"/>
  <c r="N119" i="7" s="1"/>
  <c r="P119" i="7" s="1"/>
  <c r="AP123" i="6" l="1"/>
  <c r="AR123" i="6"/>
  <c r="F77" i="6"/>
  <c r="P77" i="6" s="1"/>
  <c r="AS123" i="6"/>
  <c r="AT123" i="6"/>
  <c r="AU123" i="6"/>
  <c r="AN123" i="6"/>
  <c r="F85" i="6"/>
  <c r="R85" i="6" s="1"/>
  <c r="F112" i="6"/>
  <c r="M112" i="6" s="1"/>
  <c r="F83" i="6"/>
  <c r="M83" i="6" s="1"/>
  <c r="F124" i="6"/>
  <c r="M124" i="6" s="1"/>
  <c r="F121" i="6"/>
  <c r="N121" i="6" s="1"/>
  <c r="F110" i="6"/>
  <c r="O110" i="6" s="1"/>
  <c r="F118" i="6"/>
  <c r="M118" i="6" s="1"/>
  <c r="F17" i="6"/>
  <c r="O17" i="6" s="1"/>
  <c r="F145" i="6"/>
  <c r="M145" i="6" s="1"/>
  <c r="F98" i="6"/>
  <c r="P98" i="6" s="1"/>
  <c r="F86" i="6"/>
  <c r="M86" i="6" s="1"/>
  <c r="F89" i="6"/>
  <c r="M89" i="6" s="1"/>
  <c r="F111" i="6"/>
  <c r="O111" i="6" s="1"/>
  <c r="F81" i="6"/>
  <c r="M81" i="6" s="1"/>
  <c r="AN40" i="6"/>
  <c r="AU40" i="6"/>
  <c r="AT40" i="6"/>
  <c r="AS40" i="6"/>
  <c r="AP40" i="6"/>
  <c r="AR40" i="6"/>
  <c r="AO40" i="6"/>
  <c r="AQ40" i="6"/>
  <c r="AN102" i="6"/>
  <c r="AT102" i="6"/>
  <c r="AP102" i="6"/>
  <c r="AU102" i="6"/>
  <c r="AR102" i="6"/>
  <c r="AQ102" i="6"/>
  <c r="AS102" i="6"/>
  <c r="AO102" i="6"/>
  <c r="AN24" i="6"/>
  <c r="AU24" i="6"/>
  <c r="AT24" i="6"/>
  <c r="AS24" i="6"/>
  <c r="AQ24" i="6"/>
  <c r="AO24" i="6"/>
  <c r="AP24" i="6"/>
  <c r="AR24" i="6"/>
  <c r="AN46" i="6"/>
  <c r="AS46" i="6"/>
  <c r="AT46" i="6"/>
  <c r="AQ46" i="6"/>
  <c r="AP46" i="6"/>
  <c r="AO46" i="6"/>
  <c r="AR46" i="6"/>
  <c r="AU46" i="6"/>
  <c r="AN116" i="6"/>
  <c r="AU116" i="6"/>
  <c r="AS116" i="6"/>
  <c r="AR116" i="6"/>
  <c r="AQ116" i="6"/>
  <c r="AT116" i="6"/>
  <c r="AP116" i="6"/>
  <c r="AO116" i="6"/>
  <c r="AN65" i="6"/>
  <c r="AU65" i="6"/>
  <c r="AT65" i="6"/>
  <c r="AS65" i="6"/>
  <c r="AQ65" i="6"/>
  <c r="AO65" i="6"/>
  <c r="AR65" i="6"/>
  <c r="AP65" i="6"/>
  <c r="AN25" i="6"/>
  <c r="AU25" i="6"/>
  <c r="AT25" i="6"/>
  <c r="AS25" i="6"/>
  <c r="AP25" i="6"/>
  <c r="AQ25" i="6"/>
  <c r="AO25" i="6"/>
  <c r="AR25" i="6"/>
  <c r="AD142" i="6"/>
  <c r="AK142" i="6"/>
  <c r="AH142" i="6"/>
  <c r="AF142" i="6"/>
  <c r="AG142" i="6"/>
  <c r="AE142" i="6"/>
  <c r="AJ142" i="6"/>
  <c r="AI142" i="6"/>
  <c r="AN134" i="6"/>
  <c r="AT134" i="6"/>
  <c r="AU134" i="6"/>
  <c r="AS134" i="6"/>
  <c r="AQ134" i="6"/>
  <c r="AR134" i="6"/>
  <c r="AO134" i="6"/>
  <c r="AP134" i="6"/>
  <c r="AN59" i="6"/>
  <c r="AU59" i="6"/>
  <c r="AT59" i="6"/>
  <c r="AS59" i="6"/>
  <c r="AR59" i="6"/>
  <c r="AQ59" i="6"/>
  <c r="AP59" i="6"/>
  <c r="AO59" i="6"/>
  <c r="AR39" i="6"/>
  <c r="AS39" i="6"/>
  <c r="AT39" i="6"/>
  <c r="AN39" i="6"/>
  <c r="AU39" i="6"/>
  <c r="AP39" i="6"/>
  <c r="AO39" i="6"/>
  <c r="AQ39" i="6"/>
  <c r="AN126" i="6"/>
  <c r="AT126" i="6"/>
  <c r="AU126" i="6"/>
  <c r="AR126" i="6"/>
  <c r="AP126" i="6"/>
  <c r="AO126" i="6"/>
  <c r="AS126" i="6"/>
  <c r="AQ126" i="6"/>
  <c r="AD25" i="6"/>
  <c r="AK25" i="6"/>
  <c r="AH25" i="6"/>
  <c r="AI25" i="6"/>
  <c r="AG25" i="6"/>
  <c r="AJ25" i="6"/>
  <c r="AF25" i="6"/>
  <c r="AE25" i="6"/>
  <c r="AU93" i="6"/>
  <c r="AT93" i="6"/>
  <c r="AS93" i="6"/>
  <c r="AN93" i="6"/>
  <c r="AR93" i="6"/>
  <c r="AP93" i="6"/>
  <c r="AQ93" i="6"/>
  <c r="AO93" i="6"/>
  <c r="AN132" i="6"/>
  <c r="AS132" i="6"/>
  <c r="AR132" i="6"/>
  <c r="AQ132" i="6"/>
  <c r="AT132" i="6"/>
  <c r="AP132" i="6"/>
  <c r="AO132" i="6"/>
  <c r="AU132" i="6"/>
  <c r="AN33" i="6"/>
  <c r="AU33" i="6"/>
  <c r="AT33" i="6"/>
  <c r="AS33" i="6"/>
  <c r="AQ33" i="6"/>
  <c r="AR33" i="6"/>
  <c r="AO33" i="6"/>
  <c r="AP33" i="6"/>
  <c r="AU30" i="6"/>
  <c r="AT30" i="6"/>
  <c r="AS30" i="6"/>
  <c r="AN30" i="6"/>
  <c r="AR30" i="6"/>
  <c r="AQ30" i="6"/>
  <c r="AO30" i="6"/>
  <c r="AP30" i="6"/>
  <c r="AU55" i="6"/>
  <c r="AT55" i="6"/>
  <c r="AS55" i="6"/>
  <c r="AN55" i="6"/>
  <c r="AR55" i="6"/>
  <c r="AQ55" i="6"/>
  <c r="AO55" i="6"/>
  <c r="AP55" i="6"/>
  <c r="AN57" i="6"/>
  <c r="AU57" i="6"/>
  <c r="AT57" i="6"/>
  <c r="AS57" i="6"/>
  <c r="AR57" i="6"/>
  <c r="AO57" i="6"/>
  <c r="AQ57" i="6"/>
  <c r="AP57" i="6"/>
  <c r="AR56" i="6"/>
  <c r="AN56" i="6"/>
  <c r="AT56" i="6"/>
  <c r="AU56" i="6"/>
  <c r="AO56" i="6"/>
  <c r="AS56" i="6"/>
  <c r="AQ56" i="6"/>
  <c r="AP56" i="6"/>
  <c r="AU141" i="6"/>
  <c r="AT141" i="6"/>
  <c r="AN141" i="6"/>
  <c r="AS141" i="6"/>
  <c r="AR141" i="6"/>
  <c r="AQ141" i="6"/>
  <c r="AP141" i="6"/>
  <c r="AO141" i="6"/>
  <c r="AN68" i="6"/>
  <c r="AS68" i="6"/>
  <c r="AR68" i="6"/>
  <c r="AQ68" i="6"/>
  <c r="AP68" i="6"/>
  <c r="AT68" i="6"/>
  <c r="AU68" i="6"/>
  <c r="AO68" i="6"/>
  <c r="AN60" i="6"/>
  <c r="AT60" i="6"/>
  <c r="AS60" i="6"/>
  <c r="AR60" i="6"/>
  <c r="AQ60" i="6"/>
  <c r="AP60" i="6"/>
  <c r="AU60" i="6"/>
  <c r="AO60" i="6"/>
  <c r="AD136" i="6"/>
  <c r="AK136" i="6"/>
  <c r="AJ136" i="6"/>
  <c r="AG136" i="6"/>
  <c r="AF136" i="6"/>
  <c r="AI136" i="6"/>
  <c r="AE136" i="6"/>
  <c r="AH136" i="6"/>
  <c r="AN32" i="6"/>
  <c r="AU32" i="6"/>
  <c r="AT32" i="6"/>
  <c r="AS32" i="6"/>
  <c r="AQ32" i="6"/>
  <c r="AR32" i="6"/>
  <c r="AO32" i="6"/>
  <c r="AP32" i="6"/>
  <c r="AN147" i="6"/>
  <c r="AU147" i="6"/>
  <c r="AT147" i="6"/>
  <c r="AS147" i="6"/>
  <c r="AR147" i="6"/>
  <c r="AQ147" i="6"/>
  <c r="AP147" i="6"/>
  <c r="AO147" i="6"/>
  <c r="AN130" i="6"/>
  <c r="AU130" i="6"/>
  <c r="AT130" i="6"/>
  <c r="AS130" i="6"/>
  <c r="AQ130" i="6"/>
  <c r="AR130" i="6"/>
  <c r="AP130" i="6"/>
  <c r="AO130" i="6"/>
  <c r="AD133" i="6"/>
  <c r="AJ133" i="6"/>
  <c r="AE133" i="6"/>
  <c r="AI133" i="6"/>
  <c r="AK133" i="6"/>
  <c r="AH133" i="6"/>
  <c r="AG133" i="6"/>
  <c r="AF133" i="6"/>
  <c r="AU127" i="6"/>
  <c r="AT127" i="6"/>
  <c r="AN127" i="6"/>
  <c r="AS127" i="6"/>
  <c r="AR127" i="6"/>
  <c r="AP127" i="6"/>
  <c r="AO127" i="6"/>
  <c r="AQ127" i="6"/>
  <c r="AU101" i="6"/>
  <c r="AT101" i="6"/>
  <c r="AS101" i="6"/>
  <c r="AN101" i="6"/>
  <c r="AR101" i="6"/>
  <c r="AP101" i="6"/>
  <c r="AQ101" i="6"/>
  <c r="AO101" i="6"/>
  <c r="AN131" i="6"/>
  <c r="AU131" i="6"/>
  <c r="AT131" i="6"/>
  <c r="AS131" i="6"/>
  <c r="AR131" i="6"/>
  <c r="AQ131" i="6"/>
  <c r="AP131" i="6"/>
  <c r="AO131" i="6"/>
  <c r="AU125" i="6"/>
  <c r="AT125" i="6"/>
  <c r="AN125" i="6"/>
  <c r="AS125" i="6"/>
  <c r="AQ125" i="6"/>
  <c r="AR125" i="6"/>
  <c r="AP125" i="6"/>
  <c r="AO125" i="6"/>
  <c r="AU45" i="6"/>
  <c r="AT45" i="6"/>
  <c r="AS45" i="6"/>
  <c r="AN45" i="6"/>
  <c r="AR45" i="6"/>
  <c r="AP45" i="6"/>
  <c r="AQ45" i="6"/>
  <c r="AO45" i="6"/>
  <c r="AU28" i="6"/>
  <c r="AT28" i="6"/>
  <c r="AS28" i="6"/>
  <c r="AN28" i="6"/>
  <c r="AR28" i="6"/>
  <c r="AP28" i="6"/>
  <c r="AQ28" i="6"/>
  <c r="AO28" i="6"/>
  <c r="AU47" i="6"/>
  <c r="AT47" i="6"/>
  <c r="AS47" i="6"/>
  <c r="AN47" i="6"/>
  <c r="AR47" i="6"/>
  <c r="AQ47" i="6"/>
  <c r="AO47" i="6"/>
  <c r="AP47" i="6"/>
  <c r="AD130" i="6"/>
  <c r="AH130" i="6"/>
  <c r="AK130" i="6"/>
  <c r="AI130" i="6"/>
  <c r="AJ130" i="6"/>
  <c r="AG130" i="6"/>
  <c r="AF130" i="6"/>
  <c r="AE130" i="6"/>
  <c r="AR23" i="6"/>
  <c r="AN23" i="6"/>
  <c r="AS23" i="6"/>
  <c r="AT23" i="6"/>
  <c r="AQ23" i="6"/>
  <c r="AO23" i="6"/>
  <c r="AU23" i="6"/>
  <c r="AP23" i="6"/>
  <c r="AN97" i="6"/>
  <c r="AU97" i="6"/>
  <c r="AT97" i="6"/>
  <c r="AS97" i="6"/>
  <c r="AR97" i="6"/>
  <c r="AQ97" i="6"/>
  <c r="AO97" i="6"/>
  <c r="AP97" i="6"/>
  <c r="AN90" i="6"/>
  <c r="AU90" i="6"/>
  <c r="AT90" i="6"/>
  <c r="AS90" i="6"/>
  <c r="AP90" i="6"/>
  <c r="AQ90" i="6"/>
  <c r="AO90" i="6"/>
  <c r="AR90" i="6"/>
  <c r="AS136" i="6"/>
  <c r="AN136" i="6"/>
  <c r="AU136" i="6"/>
  <c r="AO136" i="6"/>
  <c r="AT136" i="6"/>
  <c r="AQ136" i="6"/>
  <c r="AR136" i="6"/>
  <c r="AP136" i="6"/>
  <c r="AN50" i="6"/>
  <c r="AU50" i="6"/>
  <c r="AT50" i="6"/>
  <c r="AS50" i="6"/>
  <c r="AR50" i="6"/>
  <c r="AP50" i="6"/>
  <c r="AQ50" i="6"/>
  <c r="AO50" i="6"/>
  <c r="AU64" i="6"/>
  <c r="AR64" i="6"/>
  <c r="AN64" i="6"/>
  <c r="AQ64" i="6"/>
  <c r="AO64" i="6"/>
  <c r="AP64" i="6"/>
  <c r="AT64" i="6"/>
  <c r="AS64" i="6"/>
  <c r="AN41" i="6"/>
  <c r="AU41" i="6"/>
  <c r="AT41" i="6"/>
  <c r="AS41" i="6"/>
  <c r="AP41" i="6"/>
  <c r="AR41" i="6"/>
  <c r="AO41" i="6"/>
  <c r="AQ41" i="6"/>
  <c r="AN67" i="6"/>
  <c r="AU67" i="6"/>
  <c r="AT67" i="6"/>
  <c r="AS67" i="6"/>
  <c r="AR67" i="6"/>
  <c r="AQ67" i="6"/>
  <c r="AP67" i="6"/>
  <c r="AO67" i="6"/>
  <c r="AN115" i="6"/>
  <c r="AU115" i="6"/>
  <c r="AT115" i="6"/>
  <c r="AS115" i="6"/>
  <c r="AR115" i="6"/>
  <c r="AQ115" i="6"/>
  <c r="AP115" i="6"/>
  <c r="AO115" i="6"/>
  <c r="AD117" i="6"/>
  <c r="AJ117" i="6"/>
  <c r="AK117" i="6"/>
  <c r="AE117" i="6"/>
  <c r="AH117" i="6"/>
  <c r="AG117" i="6"/>
  <c r="AI117" i="6"/>
  <c r="AF117" i="6"/>
  <c r="AN48" i="6"/>
  <c r="AT48" i="6"/>
  <c r="AR48" i="6"/>
  <c r="AU48" i="6"/>
  <c r="AP48" i="6"/>
  <c r="AQ48" i="6"/>
  <c r="AO48" i="6"/>
  <c r="AS48" i="6"/>
  <c r="AN100" i="6"/>
  <c r="AS100" i="6"/>
  <c r="AT100" i="6"/>
  <c r="AR100" i="6"/>
  <c r="AQ100" i="6"/>
  <c r="AU100" i="6"/>
  <c r="AP100" i="6"/>
  <c r="AO100" i="6"/>
  <c r="AR96" i="6"/>
  <c r="AT96" i="6"/>
  <c r="AU96" i="6"/>
  <c r="AQ96" i="6"/>
  <c r="AO96" i="6"/>
  <c r="AN96" i="6"/>
  <c r="AS96" i="6"/>
  <c r="AP96" i="6"/>
  <c r="AU133" i="6"/>
  <c r="AT133" i="6"/>
  <c r="AN133" i="6"/>
  <c r="AS133" i="6"/>
  <c r="AQ133" i="6"/>
  <c r="AR133" i="6"/>
  <c r="AP133" i="6"/>
  <c r="AO133" i="6"/>
  <c r="AN26" i="6"/>
  <c r="AU26" i="6"/>
  <c r="AT26" i="6"/>
  <c r="AS26" i="6"/>
  <c r="AR26" i="6"/>
  <c r="AQ26" i="6"/>
  <c r="AP26" i="6"/>
  <c r="AO26" i="6"/>
  <c r="AU63" i="6"/>
  <c r="AT63" i="6"/>
  <c r="AS63" i="6"/>
  <c r="AN63" i="6"/>
  <c r="AR63" i="6"/>
  <c r="AQ63" i="6"/>
  <c r="AO63" i="6"/>
  <c r="AP63" i="6"/>
  <c r="AN51" i="6"/>
  <c r="AU51" i="6"/>
  <c r="AT51" i="6"/>
  <c r="AS51" i="6"/>
  <c r="AR51" i="6"/>
  <c r="AQ51" i="6"/>
  <c r="AP51" i="6"/>
  <c r="AO51" i="6"/>
  <c r="AU36" i="6"/>
  <c r="AT36" i="6"/>
  <c r="AS36" i="6"/>
  <c r="AN36" i="6"/>
  <c r="AR36" i="6"/>
  <c r="AQ36" i="6"/>
  <c r="AP36" i="6"/>
  <c r="AO36" i="6"/>
  <c r="AN142" i="6"/>
  <c r="AT142" i="6"/>
  <c r="AU142" i="6"/>
  <c r="AR142" i="6"/>
  <c r="AQ142" i="6"/>
  <c r="AS142" i="6"/>
  <c r="AP142" i="6"/>
  <c r="AO142" i="6"/>
  <c r="AN54" i="6"/>
  <c r="AT54" i="6"/>
  <c r="AU54" i="6"/>
  <c r="AR54" i="6"/>
  <c r="AP54" i="6"/>
  <c r="AS54" i="6"/>
  <c r="AQ54" i="6"/>
  <c r="AO54" i="6"/>
  <c r="AN58" i="6"/>
  <c r="AU58" i="6"/>
  <c r="AT58" i="6"/>
  <c r="AS58" i="6"/>
  <c r="AQ58" i="6"/>
  <c r="AP58" i="6"/>
  <c r="AR58" i="6"/>
  <c r="AO58" i="6"/>
  <c r="AU135" i="6"/>
  <c r="AT135" i="6"/>
  <c r="AN135" i="6"/>
  <c r="AS135" i="6"/>
  <c r="AR135" i="6"/>
  <c r="AO135" i="6"/>
  <c r="AQ135" i="6"/>
  <c r="AP135" i="6"/>
  <c r="AN139" i="6"/>
  <c r="AU139" i="6"/>
  <c r="AT139" i="6"/>
  <c r="AS139" i="6"/>
  <c r="AR139" i="6"/>
  <c r="AQ139" i="6"/>
  <c r="AP139" i="6"/>
  <c r="AO139" i="6"/>
  <c r="AN29" i="6"/>
  <c r="AU29" i="6"/>
  <c r="AS29" i="6"/>
  <c r="AR29" i="6"/>
  <c r="AT29" i="6"/>
  <c r="AP29" i="6"/>
  <c r="AQ29" i="6"/>
  <c r="AO29" i="6"/>
  <c r="AN37" i="6"/>
  <c r="AT37" i="6"/>
  <c r="AP37" i="6"/>
  <c r="AS37" i="6"/>
  <c r="AR37" i="6"/>
  <c r="AQ37" i="6"/>
  <c r="AU37" i="6"/>
  <c r="AO37" i="6"/>
  <c r="AN122" i="6"/>
  <c r="AU122" i="6"/>
  <c r="AT122" i="6"/>
  <c r="AQ122" i="6"/>
  <c r="AP122" i="6"/>
  <c r="AS122" i="6"/>
  <c r="AO122" i="6"/>
  <c r="AR122" i="6"/>
  <c r="AN35" i="6"/>
  <c r="AT35" i="6"/>
  <c r="AR35" i="6"/>
  <c r="AQ35" i="6"/>
  <c r="AP35" i="6"/>
  <c r="AU35" i="6"/>
  <c r="AS35" i="6"/>
  <c r="AO35" i="6"/>
  <c r="AN94" i="6"/>
  <c r="AU94" i="6"/>
  <c r="AS94" i="6"/>
  <c r="AT94" i="6"/>
  <c r="AR94" i="6"/>
  <c r="AP94" i="6"/>
  <c r="AO94" i="6"/>
  <c r="AQ94" i="6"/>
  <c r="AD89" i="6"/>
  <c r="AK89" i="6"/>
  <c r="AH89" i="6"/>
  <c r="AF89" i="6"/>
  <c r="AE89" i="6"/>
  <c r="AJ89" i="6"/>
  <c r="AI89" i="6"/>
  <c r="AG89" i="6"/>
  <c r="AU87" i="6"/>
  <c r="AT87" i="6"/>
  <c r="AS87" i="6"/>
  <c r="AN87" i="6"/>
  <c r="AR87" i="6"/>
  <c r="AQ87" i="6"/>
  <c r="AO87" i="6"/>
  <c r="AP87" i="6"/>
  <c r="AN27" i="6"/>
  <c r="AT27" i="6"/>
  <c r="AU27" i="6"/>
  <c r="AR27" i="6"/>
  <c r="AQ27" i="6"/>
  <c r="AP27" i="6"/>
  <c r="AS27" i="6"/>
  <c r="AO27" i="6"/>
  <c r="AU69" i="6"/>
  <c r="AT69" i="6"/>
  <c r="AS69" i="6"/>
  <c r="AN69" i="6"/>
  <c r="AR69" i="6"/>
  <c r="AP69" i="6"/>
  <c r="AQ69" i="6"/>
  <c r="AO69" i="6"/>
  <c r="AU95" i="6"/>
  <c r="AT95" i="6"/>
  <c r="AS95" i="6"/>
  <c r="AN95" i="6"/>
  <c r="AR95" i="6"/>
  <c r="AO95" i="6"/>
  <c r="AP95" i="6"/>
  <c r="AQ95" i="6"/>
  <c r="AN19" i="6"/>
  <c r="AS19" i="6"/>
  <c r="AR19" i="6"/>
  <c r="AQ19" i="6"/>
  <c r="AP19" i="6"/>
  <c r="AT19" i="6"/>
  <c r="AU19" i="6"/>
  <c r="AO19" i="6"/>
  <c r="AU143" i="6"/>
  <c r="AT143" i="6"/>
  <c r="AN143" i="6"/>
  <c r="AS143" i="6"/>
  <c r="AR143" i="6"/>
  <c r="AO143" i="6"/>
  <c r="AQ143" i="6"/>
  <c r="AP143" i="6"/>
  <c r="AN138" i="6"/>
  <c r="AU138" i="6"/>
  <c r="AT138" i="6"/>
  <c r="AR138" i="6"/>
  <c r="AQ138" i="6"/>
  <c r="AP138" i="6"/>
  <c r="AS138" i="6"/>
  <c r="AO138" i="6"/>
  <c r="AU53" i="6"/>
  <c r="AT53" i="6"/>
  <c r="AS53" i="6"/>
  <c r="AN53" i="6"/>
  <c r="AR53" i="6"/>
  <c r="AP53" i="6"/>
  <c r="AQ53" i="6"/>
  <c r="AO53" i="6"/>
  <c r="AU22" i="6"/>
  <c r="AT22" i="6"/>
  <c r="AS22" i="6"/>
  <c r="AN22" i="6"/>
  <c r="AR22" i="6"/>
  <c r="AQ22" i="6"/>
  <c r="AO22" i="6"/>
  <c r="AP22" i="6"/>
  <c r="AR88" i="6"/>
  <c r="AN88" i="6"/>
  <c r="AT88" i="6"/>
  <c r="AU88" i="6"/>
  <c r="AQ88" i="6"/>
  <c r="AO88" i="6"/>
  <c r="AS88" i="6"/>
  <c r="AP88" i="6"/>
  <c r="AN44" i="6"/>
  <c r="AU44" i="6"/>
  <c r="AS44" i="6"/>
  <c r="AR44" i="6"/>
  <c r="AQ44" i="6"/>
  <c r="AP44" i="6"/>
  <c r="AT44" i="6"/>
  <c r="AO44" i="6"/>
  <c r="AN66" i="6"/>
  <c r="AU66" i="6"/>
  <c r="AT66" i="6"/>
  <c r="AS66" i="6"/>
  <c r="AQ66" i="6"/>
  <c r="AO66" i="6"/>
  <c r="AR66" i="6"/>
  <c r="AP66" i="6"/>
  <c r="AS144" i="6"/>
  <c r="AN144" i="6"/>
  <c r="AT144" i="6"/>
  <c r="AR144" i="6"/>
  <c r="AO144" i="6"/>
  <c r="AQ144" i="6"/>
  <c r="AU144" i="6"/>
  <c r="AP144" i="6"/>
  <c r="AU43" i="6"/>
  <c r="AT43" i="6"/>
  <c r="AN43" i="6"/>
  <c r="AS43" i="6"/>
  <c r="AR43" i="6"/>
  <c r="AQ43" i="6"/>
  <c r="AO43" i="6"/>
  <c r="AP43" i="6"/>
  <c r="AH28" i="1"/>
  <c r="AH93" i="1"/>
  <c r="AH137" i="1"/>
  <c r="AH40" i="1"/>
  <c r="AH22" i="1"/>
  <c r="AH60" i="1"/>
  <c r="AH30" i="1"/>
  <c r="AH135" i="1"/>
  <c r="AH94" i="1"/>
  <c r="AH29" i="1"/>
  <c r="AH41" i="1"/>
  <c r="AH31" i="1"/>
  <c r="E31" i="6" s="1"/>
  <c r="AH26" i="1"/>
  <c r="AH131" i="1"/>
  <c r="AH32" i="1"/>
  <c r="AH33" i="1"/>
  <c r="AH138" i="1"/>
  <c r="AH139" i="1"/>
  <c r="E139" i="6" s="1"/>
  <c r="AH27" i="1"/>
  <c r="E27" i="6" s="1"/>
  <c r="AH100" i="1"/>
  <c r="E100" i="6" s="1"/>
  <c r="AH101" i="1"/>
  <c r="AH97" i="1"/>
  <c r="E97" i="6" s="1"/>
  <c r="AH90" i="1"/>
  <c r="AH134" i="1"/>
  <c r="AH39" i="1"/>
  <c r="AH65" i="1"/>
  <c r="E65" i="6" s="1"/>
  <c r="AH66" i="1"/>
  <c r="E66" i="6" s="1"/>
  <c r="AH99" i="1"/>
  <c r="E99" i="6" s="1"/>
  <c r="AH140" i="1"/>
  <c r="AH43" i="1"/>
  <c r="AH23" i="1"/>
  <c r="AH24" i="1"/>
  <c r="AH95" i="1"/>
  <c r="AH69" i="1"/>
  <c r="E69" i="6" s="1"/>
  <c r="AH50" i="1"/>
  <c r="AH48" i="1"/>
  <c r="AH63" i="1"/>
  <c r="E63" i="6" s="1"/>
  <c r="AH64" i="1"/>
  <c r="E64" i="6" s="1"/>
  <c r="AH96" i="1"/>
  <c r="AH67" i="1"/>
  <c r="AH51" i="1"/>
  <c r="AH49" i="1"/>
  <c r="AH68" i="1"/>
  <c r="AH136" i="1"/>
  <c r="E136" i="6" s="1"/>
  <c r="AH52" i="1"/>
  <c r="AH133" i="1"/>
  <c r="E133" i="6" s="1"/>
  <c r="AH82" i="1"/>
  <c r="AH102" i="1"/>
  <c r="AH112" i="1"/>
  <c r="AH86" i="1"/>
  <c r="AH89" i="1"/>
  <c r="E89" i="6" s="1"/>
  <c r="AH118" i="1"/>
  <c r="AH124" i="1"/>
  <c r="AH122" i="1"/>
  <c r="AH130" i="1"/>
  <c r="E130" i="6" s="1"/>
  <c r="AH144" i="1"/>
  <c r="AH117" i="1"/>
  <c r="E117" i="6" s="1"/>
  <c r="AH81" i="1"/>
  <c r="AH83" i="1"/>
  <c r="AH145" i="1"/>
  <c r="AH119" i="1"/>
  <c r="AH128" i="1"/>
  <c r="AH123" i="1"/>
  <c r="AH120" i="1"/>
  <c r="AH84" i="1"/>
  <c r="E84" i="6" s="1"/>
  <c r="AH121" i="1"/>
  <c r="AH110" i="1"/>
  <c r="AH111" i="1"/>
  <c r="AH98" i="1"/>
  <c r="AH77" i="1"/>
  <c r="AH129" i="1"/>
  <c r="AH85" i="1"/>
  <c r="E85" i="6" s="1"/>
  <c r="AH109" i="1"/>
  <c r="AH80" i="1"/>
  <c r="AH103" i="1"/>
  <c r="AH74" i="1"/>
  <c r="AH44" i="1"/>
  <c r="AH75" i="1"/>
  <c r="AH46" i="1"/>
  <c r="AH45" i="1"/>
  <c r="AH16" i="1"/>
  <c r="AH53" i="1"/>
  <c r="AH17" i="1"/>
  <c r="AH11" i="1"/>
  <c r="E11" i="6" s="1"/>
  <c r="AH6" i="1"/>
  <c r="AH54" i="1"/>
  <c r="E54" i="6" s="1"/>
  <c r="AH58" i="1"/>
  <c r="AH59" i="1"/>
  <c r="AH55" i="1"/>
  <c r="E55" i="6" s="1"/>
  <c r="AH57" i="1"/>
  <c r="AH56" i="1"/>
  <c r="AH126" i="1"/>
  <c r="AH142" i="1"/>
  <c r="E142" i="6" s="1"/>
  <c r="AH87" i="1"/>
  <c r="AH116" i="1"/>
  <c r="AH125" i="1"/>
  <c r="AH35" i="1"/>
  <c r="AH115" i="1"/>
  <c r="AH127" i="1"/>
  <c r="AH141" i="1"/>
  <c r="AH143" i="1"/>
  <c r="AH88" i="1"/>
  <c r="AH12" i="1"/>
  <c r="AH113" i="1"/>
  <c r="AH114" i="1"/>
  <c r="AH132" i="1"/>
  <c r="AH19" i="1"/>
  <c r="AH108" i="1"/>
  <c r="AH105" i="1"/>
  <c r="AH20" i="1"/>
  <c r="AH21" i="1"/>
  <c r="AH47" i="1"/>
  <c r="AH36" i="1"/>
  <c r="AH37" i="1"/>
  <c r="AH42" i="1"/>
  <c r="AH147" i="1"/>
  <c r="B2" i="4"/>
  <c r="AM96" i="1"/>
  <c r="AN75" i="1"/>
  <c r="AN74" i="1"/>
  <c r="AM74" i="1"/>
  <c r="AM75" i="1"/>
  <c r="V45" i="1" l="1"/>
  <c r="AD45" i="6" s="1"/>
  <c r="E45" i="6"/>
  <c r="V123" i="1"/>
  <c r="AF123" i="6" s="1"/>
  <c r="E123" i="6"/>
  <c r="V105" i="1"/>
  <c r="E105" i="6"/>
  <c r="V6" i="1"/>
  <c r="E6" i="6"/>
  <c r="V52" i="1"/>
  <c r="E52" i="6"/>
  <c r="V147" i="1"/>
  <c r="E147" i="6"/>
  <c r="V126" i="1"/>
  <c r="E126" i="6"/>
  <c r="V74" i="1"/>
  <c r="E74" i="6"/>
  <c r="V111" i="1"/>
  <c r="E111" i="6"/>
  <c r="V145" i="1"/>
  <c r="E145" i="6"/>
  <c r="V118" i="1"/>
  <c r="E118" i="6"/>
  <c r="V48" i="1"/>
  <c r="E48" i="6"/>
  <c r="V40" i="1"/>
  <c r="E40" i="6"/>
  <c r="V47" i="1"/>
  <c r="AE47" i="6" s="1"/>
  <c r="E47" i="6"/>
  <c r="V125" i="1"/>
  <c r="AG125" i="6" s="1"/>
  <c r="E125" i="6"/>
  <c r="V144" i="1"/>
  <c r="AJ144" i="6" s="1"/>
  <c r="E144" i="6"/>
  <c r="V24" i="1"/>
  <c r="AF24" i="6" s="1"/>
  <c r="E24" i="6"/>
  <c r="V96" i="1"/>
  <c r="E96" i="6"/>
  <c r="V108" i="1"/>
  <c r="AF108" i="6" s="1"/>
  <c r="E108" i="6"/>
  <c r="V19" i="1"/>
  <c r="AD19" i="6" s="1"/>
  <c r="E19" i="6"/>
  <c r="V56" i="1"/>
  <c r="E56" i="6"/>
  <c r="V17" i="1"/>
  <c r="AI17" i="6" s="1"/>
  <c r="E17" i="6"/>
  <c r="V103" i="1"/>
  <c r="E103" i="6"/>
  <c r="V110" i="1"/>
  <c r="E110" i="6"/>
  <c r="V83" i="1"/>
  <c r="AF83" i="6" s="1"/>
  <c r="E83" i="6"/>
  <c r="V68" i="1"/>
  <c r="E68" i="6"/>
  <c r="V50" i="1"/>
  <c r="E50" i="6"/>
  <c r="V41" i="1"/>
  <c r="E41" i="6"/>
  <c r="V137" i="1"/>
  <c r="AE137" i="6" s="1"/>
  <c r="E137" i="6"/>
  <c r="V113" i="1"/>
  <c r="AF113" i="6" s="1"/>
  <c r="E113" i="6"/>
  <c r="V120" i="1"/>
  <c r="AF120" i="6" s="1"/>
  <c r="E120" i="6"/>
  <c r="V67" i="1"/>
  <c r="AG67" i="6" s="1"/>
  <c r="E67" i="6"/>
  <c r="V33" i="1"/>
  <c r="AJ33" i="6" s="1"/>
  <c r="E33" i="6"/>
  <c r="V21" i="1"/>
  <c r="AE21" i="6" s="1"/>
  <c r="E21" i="6"/>
  <c r="V116" i="1"/>
  <c r="E116" i="6"/>
  <c r="V23" i="1"/>
  <c r="E23" i="6"/>
  <c r="V143" i="1"/>
  <c r="AF143" i="6" s="1"/>
  <c r="E143" i="6"/>
  <c r="V44" i="1"/>
  <c r="AG44" i="6" s="1"/>
  <c r="E44" i="6"/>
  <c r="V124" i="1"/>
  <c r="AF124" i="6" s="1"/>
  <c r="E124" i="6"/>
  <c r="V26" i="1"/>
  <c r="AI26" i="6" s="1"/>
  <c r="E26" i="6"/>
  <c r="V132" i="1"/>
  <c r="E132" i="6"/>
  <c r="V115" i="1"/>
  <c r="E115" i="6"/>
  <c r="V57" i="1"/>
  <c r="AE57" i="6" s="1"/>
  <c r="E57" i="6"/>
  <c r="V53" i="1"/>
  <c r="E53" i="6"/>
  <c r="V80" i="1"/>
  <c r="AI80" i="6" s="1"/>
  <c r="E80" i="6"/>
  <c r="V121" i="1"/>
  <c r="AE121" i="6" s="1"/>
  <c r="E121" i="6"/>
  <c r="V81" i="1"/>
  <c r="E81" i="6"/>
  <c r="V86" i="1"/>
  <c r="AH86" i="6" s="1"/>
  <c r="E86" i="6"/>
  <c r="V49" i="1"/>
  <c r="E49" i="6"/>
  <c r="V29" i="1"/>
  <c r="E29" i="6"/>
  <c r="V93" i="1"/>
  <c r="AE93" i="6" s="1"/>
  <c r="E93" i="6"/>
  <c r="V98" i="1"/>
  <c r="AI98" i="6" s="1"/>
  <c r="E98" i="6"/>
  <c r="V140" i="1"/>
  <c r="AJ140" i="6" s="1"/>
  <c r="E140" i="6"/>
  <c r="V22" i="1"/>
  <c r="AE22" i="6" s="1"/>
  <c r="E22" i="6"/>
  <c r="V141" i="1"/>
  <c r="AI141" i="6" s="1"/>
  <c r="E141" i="6"/>
  <c r="V42" i="1"/>
  <c r="AI42" i="6" s="1"/>
  <c r="E42" i="6"/>
  <c r="V127" i="1"/>
  <c r="AE127" i="6" s="1"/>
  <c r="E127" i="6"/>
  <c r="V37" i="1"/>
  <c r="AE37" i="6" s="1"/>
  <c r="E37" i="6"/>
  <c r="V36" i="1"/>
  <c r="AH36" i="6" s="1"/>
  <c r="E36" i="6"/>
  <c r="V114" i="1"/>
  <c r="E114" i="6"/>
  <c r="V35" i="1"/>
  <c r="AH35" i="6" s="1"/>
  <c r="E35" i="6"/>
  <c r="V16" i="1"/>
  <c r="E16" i="6"/>
  <c r="V109" i="1"/>
  <c r="AH109" i="6" s="1"/>
  <c r="E109" i="6"/>
  <c r="V112" i="1"/>
  <c r="E112" i="6"/>
  <c r="V51" i="1"/>
  <c r="AF51" i="6" s="1"/>
  <c r="E51" i="6"/>
  <c r="V95" i="1"/>
  <c r="E95" i="6"/>
  <c r="V39" i="1"/>
  <c r="E39" i="6"/>
  <c r="V138" i="1"/>
  <c r="E138" i="6"/>
  <c r="V94" i="1"/>
  <c r="E94" i="6"/>
  <c r="V28" i="1"/>
  <c r="E28" i="6"/>
  <c r="V135" i="1"/>
  <c r="AE135" i="6" s="1"/>
  <c r="E135" i="6"/>
  <c r="V32" i="1"/>
  <c r="AI32" i="6" s="1"/>
  <c r="E32" i="6"/>
  <c r="V90" i="1"/>
  <c r="AE90" i="6" s="1"/>
  <c r="E90" i="6"/>
  <c r="V20" i="1"/>
  <c r="AI20" i="6" s="1"/>
  <c r="E20" i="6"/>
  <c r="V88" i="1"/>
  <c r="AE88" i="6" s="1"/>
  <c r="E88" i="6"/>
  <c r="V87" i="1"/>
  <c r="AG87" i="6" s="1"/>
  <c r="E87" i="6"/>
  <c r="V75" i="1"/>
  <c r="AG75" i="6" s="1"/>
  <c r="E75" i="6"/>
  <c r="V77" i="1"/>
  <c r="AH77" i="6" s="1"/>
  <c r="E77" i="6"/>
  <c r="V128" i="1"/>
  <c r="AF128" i="6" s="1"/>
  <c r="E128" i="6"/>
  <c r="V122" i="1"/>
  <c r="AJ122" i="6" s="1"/>
  <c r="E122" i="6"/>
  <c r="V43" i="1"/>
  <c r="AE43" i="6" s="1"/>
  <c r="E43" i="6"/>
  <c r="V131" i="1"/>
  <c r="AG131" i="6" s="1"/>
  <c r="E131" i="6"/>
  <c r="V60" i="1"/>
  <c r="AH60" i="6" s="1"/>
  <c r="E60" i="6"/>
  <c r="V59" i="1"/>
  <c r="AI59" i="6" s="1"/>
  <c r="E59" i="6"/>
  <c r="V102" i="1"/>
  <c r="AE102" i="6" s="1"/>
  <c r="E102" i="6"/>
  <c r="V134" i="1"/>
  <c r="AJ134" i="6" s="1"/>
  <c r="E134" i="6"/>
  <c r="V12" i="1"/>
  <c r="AH12" i="6" s="1"/>
  <c r="E12" i="6"/>
  <c r="V58" i="1"/>
  <c r="AG58" i="6" s="1"/>
  <c r="E58" i="6"/>
  <c r="V46" i="1"/>
  <c r="AE46" i="6" s="1"/>
  <c r="E46" i="6"/>
  <c r="V129" i="1"/>
  <c r="AF129" i="6" s="1"/>
  <c r="E129" i="6"/>
  <c r="V82" i="1"/>
  <c r="AF82" i="6" s="1"/>
  <c r="E82" i="6"/>
  <c r="V30" i="1"/>
  <c r="AE30" i="6" s="1"/>
  <c r="E30" i="6"/>
  <c r="V119" i="1"/>
  <c r="AH119" i="6" s="1"/>
  <c r="E119" i="6"/>
  <c r="V101" i="1"/>
  <c r="AK101" i="6" s="1"/>
  <c r="E101" i="6"/>
  <c r="AD21" i="6"/>
  <c r="AF21" i="6"/>
  <c r="AI21" i="6"/>
  <c r="AD123" i="6"/>
  <c r="AG123" i="6"/>
  <c r="AJ123" i="6"/>
  <c r="AE123" i="6"/>
  <c r="AJ30" i="6"/>
  <c r="AH30" i="6"/>
  <c r="AD42" i="6"/>
  <c r="AH42" i="6"/>
  <c r="AF42" i="6"/>
  <c r="AD17" i="6"/>
  <c r="AG17" i="6"/>
  <c r="AF17" i="6"/>
  <c r="AE17" i="6"/>
  <c r="AH83" i="6"/>
  <c r="AJ83" i="6"/>
  <c r="AD137" i="6"/>
  <c r="AI137" i="6"/>
  <c r="AH137" i="6"/>
  <c r="AD37" i="6"/>
  <c r="AF37" i="6"/>
  <c r="AJ37" i="6"/>
  <c r="AH57" i="6"/>
  <c r="AJ121" i="6"/>
  <c r="AH121" i="6"/>
  <c r="AD86" i="6"/>
  <c r="AK86" i="6"/>
  <c r="AJ86" i="6"/>
  <c r="AF86" i="6"/>
  <c r="AI86" i="6"/>
  <c r="AD93" i="6"/>
  <c r="AI93" i="6"/>
  <c r="AG36" i="6"/>
  <c r="AF35" i="6"/>
  <c r="AF109" i="6"/>
  <c r="AD47" i="6"/>
  <c r="AK47" i="6"/>
  <c r="AF47" i="6"/>
  <c r="AH47" i="6"/>
  <c r="AG47" i="6"/>
  <c r="AD113" i="6"/>
  <c r="AG113" i="6"/>
  <c r="AE113" i="6"/>
  <c r="AI113" i="6"/>
  <c r="AD125" i="6"/>
  <c r="AK125" i="6"/>
  <c r="AE125" i="6"/>
  <c r="AH125" i="6"/>
  <c r="AF125" i="6"/>
  <c r="AD59" i="6"/>
  <c r="AF59" i="6"/>
  <c r="AE59" i="6"/>
  <c r="AJ45" i="6"/>
  <c r="AK45" i="6"/>
  <c r="AG45" i="6"/>
  <c r="AH45" i="6"/>
  <c r="AI45" i="6"/>
  <c r="AF45" i="6"/>
  <c r="AJ120" i="6"/>
  <c r="AG120" i="6"/>
  <c r="AE120" i="6"/>
  <c r="AD144" i="6"/>
  <c r="AK144" i="6"/>
  <c r="AI144" i="6"/>
  <c r="AG144" i="6"/>
  <c r="AF144" i="6"/>
  <c r="AH144" i="6"/>
  <c r="AE144" i="6"/>
  <c r="AJ102" i="6"/>
  <c r="AK67" i="6"/>
  <c r="AI67" i="6"/>
  <c r="AH67" i="6"/>
  <c r="AJ67" i="6"/>
  <c r="AF67" i="6"/>
  <c r="AE67" i="6"/>
  <c r="AD24" i="6"/>
  <c r="AJ24" i="6"/>
  <c r="AI24" i="6"/>
  <c r="AE24" i="6"/>
  <c r="AG24" i="6"/>
  <c r="AI134" i="6"/>
  <c r="AD33" i="6"/>
  <c r="AK33" i="6"/>
  <c r="AF33" i="6"/>
  <c r="AE33" i="6"/>
  <c r="AD135" i="6"/>
  <c r="AF135" i="6"/>
  <c r="AJ88" i="6"/>
  <c r="AF90" i="6"/>
  <c r="AD87" i="6"/>
  <c r="AK87" i="6"/>
  <c r="AI87" i="6"/>
  <c r="AE87" i="6"/>
  <c r="AH87" i="6"/>
  <c r="AE77" i="6"/>
  <c r="AF77" i="6"/>
  <c r="AD122" i="6"/>
  <c r="AI122" i="6"/>
  <c r="AF122" i="6"/>
  <c r="AK60" i="6"/>
  <c r="AF60" i="6"/>
  <c r="AD143" i="6"/>
  <c r="AI143" i="6"/>
  <c r="AG143" i="6"/>
  <c r="AD98" i="6"/>
  <c r="AH98" i="6"/>
  <c r="AG98" i="6"/>
  <c r="AJ98" i="6"/>
  <c r="AF98" i="6"/>
  <c r="AD124" i="6"/>
  <c r="AI124" i="6"/>
  <c r="AG124" i="6"/>
  <c r="AE124" i="6"/>
  <c r="AJ124" i="6"/>
  <c r="AG140" i="6"/>
  <c r="AD26" i="6"/>
  <c r="AH26" i="6"/>
  <c r="AG26" i="6"/>
  <c r="AK26" i="6"/>
  <c r="AJ26" i="6"/>
  <c r="AF26" i="6"/>
  <c r="AI46" i="6"/>
  <c r="AD82" i="6"/>
  <c r="AE82" i="6"/>
  <c r="AD20" i="6"/>
  <c r="AF20" i="6"/>
  <c r="AD128" i="6"/>
  <c r="AJ131" i="6"/>
  <c r="AF131" i="6"/>
  <c r="AE131" i="6"/>
  <c r="AD105" i="6"/>
  <c r="AK105" i="6"/>
  <c r="AI105" i="6"/>
  <c r="AH105" i="6"/>
  <c r="AG105" i="6"/>
  <c r="AF105" i="6"/>
  <c r="AE105" i="6"/>
  <c r="AJ105" i="6"/>
  <c r="AD6" i="6"/>
  <c r="AK6" i="6"/>
  <c r="AJ6" i="6"/>
  <c r="AI6" i="6"/>
  <c r="AG6" i="6"/>
  <c r="AF6" i="6"/>
  <c r="AE6" i="6"/>
  <c r="AH6" i="6"/>
  <c r="AD44" i="6"/>
  <c r="AJ44" i="6"/>
  <c r="AK44" i="6"/>
  <c r="AF44" i="6"/>
  <c r="AE44" i="6"/>
  <c r="AD119" i="6"/>
  <c r="AE119" i="6"/>
  <c r="AK119" i="6"/>
  <c r="AD52" i="6"/>
  <c r="AI52" i="6"/>
  <c r="AJ52" i="6"/>
  <c r="AK52" i="6"/>
  <c r="AH52" i="6"/>
  <c r="AG52" i="6"/>
  <c r="AF52" i="6"/>
  <c r="AE52" i="6"/>
  <c r="AF101" i="6"/>
  <c r="AD22" i="6"/>
  <c r="AJ22" i="6"/>
  <c r="AF22" i="6"/>
  <c r="AG22" i="6"/>
  <c r="AH22" i="6"/>
  <c r="AD147" i="6"/>
  <c r="AI147" i="6"/>
  <c r="AH147" i="6"/>
  <c r="AJ147" i="6"/>
  <c r="AG147" i="6"/>
  <c r="AK147" i="6"/>
  <c r="AF147" i="6"/>
  <c r="AE147" i="6"/>
  <c r="AD108" i="6"/>
  <c r="AK108" i="6"/>
  <c r="AH108" i="6"/>
  <c r="AG108" i="6"/>
  <c r="AE108" i="6"/>
  <c r="AJ108" i="6"/>
  <c r="AD141" i="6"/>
  <c r="AK141" i="6"/>
  <c r="AE141" i="6"/>
  <c r="AG141" i="6"/>
  <c r="AD126" i="6"/>
  <c r="AK126" i="6"/>
  <c r="AH126" i="6"/>
  <c r="AJ126" i="6"/>
  <c r="AF126" i="6"/>
  <c r="AI126" i="6"/>
  <c r="AE126" i="6"/>
  <c r="AG126" i="6"/>
  <c r="AD74" i="6"/>
  <c r="AJ74" i="6"/>
  <c r="AH74" i="6"/>
  <c r="AK74" i="6"/>
  <c r="AG74" i="6"/>
  <c r="AF74" i="6"/>
  <c r="AI74" i="6"/>
  <c r="AE74" i="6"/>
  <c r="AD111" i="6"/>
  <c r="AK111" i="6"/>
  <c r="AJ111" i="6"/>
  <c r="AI111" i="6"/>
  <c r="AG111" i="6"/>
  <c r="AF111" i="6"/>
  <c r="AE111" i="6"/>
  <c r="AH111" i="6"/>
  <c r="AD145" i="6"/>
  <c r="AK145" i="6"/>
  <c r="AJ145" i="6"/>
  <c r="AI145" i="6"/>
  <c r="AG145" i="6"/>
  <c r="AF145" i="6"/>
  <c r="AH145" i="6"/>
  <c r="AE145" i="6"/>
  <c r="AD118" i="6"/>
  <c r="AK118" i="6"/>
  <c r="AJ118" i="6"/>
  <c r="AH118" i="6"/>
  <c r="AI118" i="6"/>
  <c r="AF118" i="6"/>
  <c r="AE118" i="6"/>
  <c r="AG118" i="6"/>
  <c r="AD48" i="6"/>
  <c r="AK48" i="6"/>
  <c r="AJ48" i="6"/>
  <c r="AI48" i="6"/>
  <c r="AG48" i="6"/>
  <c r="AF48" i="6"/>
  <c r="AE48" i="6"/>
  <c r="AH48" i="6"/>
  <c r="AD40" i="6"/>
  <c r="AK40" i="6"/>
  <c r="AI40" i="6"/>
  <c r="AH40" i="6"/>
  <c r="AG40" i="6"/>
  <c r="AF40" i="6"/>
  <c r="AE40" i="6"/>
  <c r="AJ40" i="6"/>
  <c r="AG12" i="6"/>
  <c r="AD32" i="6"/>
  <c r="AK32" i="6"/>
  <c r="AJ32" i="6"/>
  <c r="AF32" i="6"/>
  <c r="AG32" i="6"/>
  <c r="AD56" i="6"/>
  <c r="AK56" i="6"/>
  <c r="AJ56" i="6"/>
  <c r="AF56" i="6"/>
  <c r="AI56" i="6"/>
  <c r="AE56" i="6"/>
  <c r="AH56" i="6"/>
  <c r="AG56" i="6"/>
  <c r="AD41" i="6"/>
  <c r="AK41" i="6"/>
  <c r="AJ41" i="6"/>
  <c r="AH41" i="6"/>
  <c r="AG41" i="6"/>
  <c r="AI41" i="6"/>
  <c r="AF41" i="6"/>
  <c r="AE41" i="6"/>
  <c r="AD58" i="6"/>
  <c r="AH58" i="6"/>
  <c r="AI58" i="6"/>
  <c r="AJ58" i="6"/>
  <c r="AF58" i="6"/>
  <c r="AD23" i="6"/>
  <c r="AK23" i="6"/>
  <c r="AJ23" i="6"/>
  <c r="AH23" i="6"/>
  <c r="AF23" i="6"/>
  <c r="AE23" i="6"/>
  <c r="AI23" i="6"/>
  <c r="AG23" i="6"/>
  <c r="AD103" i="6"/>
  <c r="AK103" i="6"/>
  <c r="AI103" i="6"/>
  <c r="AH103" i="6"/>
  <c r="AG103" i="6"/>
  <c r="AF103" i="6"/>
  <c r="AE103" i="6"/>
  <c r="AJ103" i="6"/>
  <c r="AD50" i="6"/>
  <c r="AH50" i="6"/>
  <c r="AG50" i="6"/>
  <c r="AK50" i="6"/>
  <c r="AJ50" i="6"/>
  <c r="AI50" i="6"/>
  <c r="AF50" i="6"/>
  <c r="AE50" i="6"/>
  <c r="AD132" i="6"/>
  <c r="AI132" i="6"/>
  <c r="AJ132" i="6"/>
  <c r="AK132" i="6"/>
  <c r="AH132" i="6"/>
  <c r="AG132" i="6"/>
  <c r="AF132" i="6"/>
  <c r="AE132" i="6"/>
  <c r="AD80" i="6"/>
  <c r="AK80" i="6"/>
  <c r="AJ80" i="6"/>
  <c r="AG80" i="6"/>
  <c r="AF80" i="6"/>
  <c r="AH80" i="6"/>
  <c r="AE80" i="6"/>
  <c r="AD29" i="6"/>
  <c r="AK29" i="6"/>
  <c r="AJ29" i="6"/>
  <c r="AI29" i="6"/>
  <c r="AH29" i="6"/>
  <c r="AF29" i="6"/>
  <c r="AE29" i="6"/>
  <c r="AG29" i="6"/>
  <c r="AD116" i="6"/>
  <c r="AJ116" i="6"/>
  <c r="AI116" i="6"/>
  <c r="AK116" i="6"/>
  <c r="AH116" i="6"/>
  <c r="AG116" i="6"/>
  <c r="AF116" i="6"/>
  <c r="AE116" i="6"/>
  <c r="AD96" i="6"/>
  <c r="AK96" i="6"/>
  <c r="AJ96" i="6"/>
  <c r="AI96" i="6"/>
  <c r="AF96" i="6"/>
  <c r="AE96" i="6"/>
  <c r="AG96" i="6"/>
  <c r="AH96" i="6"/>
  <c r="AD127" i="6"/>
  <c r="AJ127" i="6"/>
  <c r="AI127" i="6"/>
  <c r="AH127" i="6"/>
  <c r="AG127" i="6"/>
  <c r="AF127" i="6"/>
  <c r="AD110" i="6"/>
  <c r="AK110" i="6"/>
  <c r="AH110" i="6"/>
  <c r="AJ110" i="6"/>
  <c r="AF110" i="6"/>
  <c r="AE110" i="6"/>
  <c r="AI110" i="6"/>
  <c r="AG110" i="6"/>
  <c r="AD68" i="6"/>
  <c r="AI68" i="6"/>
  <c r="AJ68" i="6"/>
  <c r="AK68" i="6"/>
  <c r="AH68" i="6"/>
  <c r="AF68" i="6"/>
  <c r="AG68" i="6"/>
  <c r="AE68" i="6"/>
  <c r="AD115" i="6"/>
  <c r="AI115" i="6"/>
  <c r="AH115" i="6"/>
  <c r="AJ115" i="6"/>
  <c r="AG115" i="6"/>
  <c r="AK115" i="6"/>
  <c r="AF115" i="6"/>
  <c r="AE115" i="6"/>
  <c r="AD53" i="6"/>
  <c r="AJ53" i="6"/>
  <c r="AK53" i="6"/>
  <c r="AG53" i="6"/>
  <c r="AE53" i="6"/>
  <c r="AI53" i="6"/>
  <c r="AH53" i="6"/>
  <c r="AF53" i="6"/>
  <c r="AD81" i="6"/>
  <c r="AK81" i="6"/>
  <c r="AI81" i="6"/>
  <c r="AG81" i="6"/>
  <c r="AJ81" i="6"/>
  <c r="AF81" i="6"/>
  <c r="AH81" i="6"/>
  <c r="AE81" i="6"/>
  <c r="AD49" i="6"/>
  <c r="AK49" i="6"/>
  <c r="AJ49" i="6"/>
  <c r="AH49" i="6"/>
  <c r="AG49" i="6"/>
  <c r="AF49" i="6"/>
  <c r="AE49" i="6"/>
  <c r="AI49" i="6"/>
  <c r="AD114" i="6"/>
  <c r="AH114" i="6"/>
  <c r="AK114" i="6"/>
  <c r="AJ114" i="6"/>
  <c r="AG114" i="6"/>
  <c r="AF114" i="6"/>
  <c r="AE114" i="6"/>
  <c r="AI114" i="6"/>
  <c r="AD16" i="6"/>
  <c r="AK16" i="6"/>
  <c r="AJ16" i="6"/>
  <c r="AI16" i="6"/>
  <c r="AG16" i="6"/>
  <c r="AF16" i="6"/>
  <c r="AH16" i="6"/>
  <c r="AE16" i="6"/>
  <c r="AD112" i="6"/>
  <c r="AK112" i="6"/>
  <c r="AJ112" i="6"/>
  <c r="AG112" i="6"/>
  <c r="AF112" i="6"/>
  <c r="AE112" i="6"/>
  <c r="AI112" i="6"/>
  <c r="AH112" i="6"/>
  <c r="AD95" i="6"/>
  <c r="AJ95" i="6"/>
  <c r="AI95" i="6"/>
  <c r="AK95" i="6"/>
  <c r="AF95" i="6"/>
  <c r="AE95" i="6"/>
  <c r="AG95" i="6"/>
  <c r="AH95" i="6"/>
  <c r="AD39" i="6"/>
  <c r="AK39" i="6"/>
  <c r="AJ39" i="6"/>
  <c r="AH39" i="6"/>
  <c r="AG39" i="6"/>
  <c r="AF39" i="6"/>
  <c r="AI39" i="6"/>
  <c r="AE39" i="6"/>
  <c r="AD138" i="6"/>
  <c r="AJ138" i="6"/>
  <c r="AH138" i="6"/>
  <c r="AK138" i="6"/>
  <c r="AG138" i="6"/>
  <c r="AF138" i="6"/>
  <c r="AI138" i="6"/>
  <c r="AE138" i="6"/>
  <c r="AD94" i="6"/>
  <c r="AK94" i="6"/>
  <c r="AH94" i="6"/>
  <c r="AF94" i="6"/>
  <c r="AJ94" i="6"/>
  <c r="AI94" i="6"/>
  <c r="AE94" i="6"/>
  <c r="AG94" i="6"/>
  <c r="AD28" i="6"/>
  <c r="AJ28" i="6"/>
  <c r="AK28" i="6"/>
  <c r="AG28" i="6"/>
  <c r="AE28" i="6"/>
  <c r="AH28" i="6"/>
  <c r="AI28" i="6"/>
  <c r="AF28" i="6"/>
  <c r="AF43" i="6"/>
  <c r="AI43" i="6"/>
  <c r="AD43" i="6"/>
  <c r="AH43" i="6"/>
  <c r="AK43" i="6"/>
  <c r="AG43" i="6"/>
  <c r="V84" i="1"/>
  <c r="V85" i="1"/>
  <c r="V54" i="1"/>
  <c r="V64" i="1"/>
  <c r="V97" i="1"/>
  <c r="V63" i="1"/>
  <c r="V11" i="1"/>
  <c r="V99" i="1"/>
  <c r="V100" i="1"/>
  <c r="V31" i="1"/>
  <c r="V66" i="1"/>
  <c r="V27" i="1"/>
  <c r="V69" i="1"/>
  <c r="V65" i="1"/>
  <c r="V139" i="1"/>
  <c r="V55" i="1"/>
  <c r="AO96" i="1"/>
  <c r="C96" i="4" s="1"/>
  <c r="G96" i="4" s="1"/>
  <c r="AI45" i="1"/>
  <c r="I45" i="4" s="1"/>
  <c r="K45" i="4" s="1"/>
  <c r="AI144" i="1"/>
  <c r="I144" i="4" s="1"/>
  <c r="N144" i="4" s="1"/>
  <c r="AI134" i="1"/>
  <c r="I134" i="4" s="1"/>
  <c r="K134" i="4" s="1"/>
  <c r="AI116" i="1"/>
  <c r="I116" i="4" s="1"/>
  <c r="K116" i="4" s="1"/>
  <c r="AI123" i="1"/>
  <c r="I123" i="4" s="1"/>
  <c r="K123" i="4" s="1"/>
  <c r="AI96" i="1"/>
  <c r="I96" i="4" s="1"/>
  <c r="M96" i="4" s="1"/>
  <c r="AI90" i="1"/>
  <c r="I90" i="4" s="1"/>
  <c r="L90" i="4" s="1"/>
  <c r="AI32" i="1"/>
  <c r="I32" i="4" s="1"/>
  <c r="L32" i="4" s="1"/>
  <c r="AI20" i="1"/>
  <c r="I20" i="4" s="1"/>
  <c r="J20" i="4" s="1"/>
  <c r="AI75" i="1"/>
  <c r="I75" i="4" s="1"/>
  <c r="L75" i="4" s="1"/>
  <c r="AI122" i="1"/>
  <c r="I122" i="4" s="1"/>
  <c r="K122" i="4" s="1"/>
  <c r="AI43" i="1"/>
  <c r="I43" i="4" s="1"/>
  <c r="L43" i="4" s="1"/>
  <c r="AI131" i="1"/>
  <c r="I131" i="4" s="1"/>
  <c r="J131" i="4" s="1"/>
  <c r="AI143" i="1"/>
  <c r="I143" i="4" s="1"/>
  <c r="L143" i="4" s="1"/>
  <c r="AI98" i="1"/>
  <c r="I98" i="4" s="1"/>
  <c r="J98" i="4" s="1"/>
  <c r="AI124" i="1"/>
  <c r="I124" i="4" s="1"/>
  <c r="L124" i="4" s="1"/>
  <c r="AI140" i="1"/>
  <c r="I140" i="4" s="1"/>
  <c r="N140" i="4" s="1"/>
  <c r="AI108" i="1"/>
  <c r="I108" i="4" s="1"/>
  <c r="M108" i="4" s="1"/>
  <c r="AI136" i="1"/>
  <c r="I136" i="4" s="1"/>
  <c r="M136" i="4" s="1"/>
  <c r="AI113" i="1"/>
  <c r="I113" i="4" s="1"/>
  <c r="J113" i="4" s="1"/>
  <c r="AI125" i="1"/>
  <c r="I125" i="4" s="1"/>
  <c r="K125" i="4" s="1"/>
  <c r="AI85" i="1"/>
  <c r="I85" i="4" s="1"/>
  <c r="L85" i="4" s="1"/>
  <c r="AI102" i="1"/>
  <c r="I102" i="4" s="1"/>
  <c r="L102" i="4" s="1"/>
  <c r="AI67" i="1"/>
  <c r="I67" i="4" s="1"/>
  <c r="M67" i="4" s="1"/>
  <c r="AI33" i="1"/>
  <c r="I33" i="4" s="1"/>
  <c r="L33" i="4" s="1"/>
  <c r="AI12" i="1"/>
  <c r="I12" i="4" s="1"/>
  <c r="L12" i="4" s="1"/>
  <c r="AI130" i="1"/>
  <c r="I130" i="4" s="1"/>
  <c r="J130" i="4" s="1"/>
  <c r="AI88" i="1"/>
  <c r="I88" i="4" s="1"/>
  <c r="K88" i="4" s="1"/>
  <c r="AI87" i="1"/>
  <c r="I87" i="4" s="1"/>
  <c r="K87" i="4" s="1"/>
  <c r="AI77" i="1"/>
  <c r="I77" i="4" s="1"/>
  <c r="K77" i="4" s="1"/>
  <c r="AI133" i="1"/>
  <c r="I133" i="4" s="1"/>
  <c r="M133" i="4" s="1"/>
  <c r="AI97" i="1"/>
  <c r="I97" i="4" s="1"/>
  <c r="J97" i="4" s="1"/>
  <c r="AI60" i="1"/>
  <c r="I60" i="4" s="1"/>
  <c r="L60" i="4" s="1"/>
  <c r="AI105" i="1"/>
  <c r="I105" i="4" s="1"/>
  <c r="L105" i="4" s="1"/>
  <c r="AI142" i="1"/>
  <c r="I142" i="4" s="1"/>
  <c r="L142" i="4" s="1"/>
  <c r="AI6" i="1"/>
  <c r="AI119" i="1"/>
  <c r="I119" i="4" s="1"/>
  <c r="K119" i="4" s="1"/>
  <c r="AI52" i="1"/>
  <c r="I52" i="4" s="1"/>
  <c r="M52" i="4" s="1"/>
  <c r="AI63" i="1"/>
  <c r="I63" i="4" s="1"/>
  <c r="J63" i="4" s="1"/>
  <c r="AI101" i="1"/>
  <c r="I101" i="4" s="1"/>
  <c r="K101" i="4" s="1"/>
  <c r="AI22" i="1"/>
  <c r="I22" i="4" s="1"/>
  <c r="L22" i="4" s="1"/>
  <c r="AI147" i="1"/>
  <c r="I147" i="4" s="1"/>
  <c r="AI141" i="1"/>
  <c r="I141" i="4" s="1"/>
  <c r="L141" i="4" s="1"/>
  <c r="AI126" i="1"/>
  <c r="I126" i="4" s="1"/>
  <c r="J126" i="4" s="1"/>
  <c r="AI11" i="1"/>
  <c r="I11" i="4" s="1"/>
  <c r="L11" i="4" s="1"/>
  <c r="AI74" i="1"/>
  <c r="I74" i="4" s="1"/>
  <c r="L74" i="4" s="1"/>
  <c r="AI111" i="1"/>
  <c r="I111" i="4" s="1"/>
  <c r="K111" i="4" s="1"/>
  <c r="AI145" i="1"/>
  <c r="I145" i="4" s="1"/>
  <c r="K145" i="4" s="1"/>
  <c r="AI118" i="1"/>
  <c r="I118" i="4" s="1"/>
  <c r="K118" i="4" s="1"/>
  <c r="AI48" i="1"/>
  <c r="I48" i="4" s="1"/>
  <c r="M48" i="4" s="1"/>
  <c r="AI99" i="1"/>
  <c r="I99" i="4" s="1"/>
  <c r="N99" i="4" s="1"/>
  <c r="AI100" i="1"/>
  <c r="I100" i="4" s="1"/>
  <c r="J100" i="4" s="1"/>
  <c r="AI31" i="1"/>
  <c r="I31" i="4" s="1"/>
  <c r="L31" i="4" s="1"/>
  <c r="AI40" i="1"/>
  <c r="I40" i="4" s="1"/>
  <c r="K40" i="4" s="1"/>
  <c r="AI19" i="1"/>
  <c r="I19" i="4" s="1"/>
  <c r="J19" i="4" s="1"/>
  <c r="AI127" i="1"/>
  <c r="I127" i="4" s="1"/>
  <c r="J127" i="4" s="1"/>
  <c r="AI103" i="1"/>
  <c r="I103" i="4" s="1"/>
  <c r="M103" i="4" s="1"/>
  <c r="AI83" i="1"/>
  <c r="I83" i="4" s="1"/>
  <c r="J83" i="4" s="1"/>
  <c r="AI89" i="1"/>
  <c r="I89" i="4" s="1"/>
  <c r="J89" i="4" s="1"/>
  <c r="AI50" i="1"/>
  <c r="I50" i="4" s="1"/>
  <c r="M50" i="4" s="1"/>
  <c r="AI41" i="1"/>
  <c r="I41" i="4" s="1"/>
  <c r="K41" i="4" s="1"/>
  <c r="AI115" i="1"/>
  <c r="I115" i="4" s="1"/>
  <c r="L115" i="4" s="1"/>
  <c r="AI80" i="1"/>
  <c r="I80" i="4" s="1"/>
  <c r="M80" i="4" s="1"/>
  <c r="AI49" i="1"/>
  <c r="I49" i="4" s="1"/>
  <c r="M49" i="4" s="1"/>
  <c r="AI139" i="1"/>
  <c r="I139" i="4" s="1"/>
  <c r="K139" i="4" s="1"/>
  <c r="AI29" i="1"/>
  <c r="I29" i="4" s="1"/>
  <c r="K29" i="4" s="1"/>
  <c r="AI93" i="1"/>
  <c r="I93" i="4" s="1"/>
  <c r="K93" i="4" s="1"/>
  <c r="AI47" i="1"/>
  <c r="I47" i="4" s="1"/>
  <c r="L47" i="4" s="1"/>
  <c r="AI59" i="1"/>
  <c r="I59" i="4" s="1"/>
  <c r="K59" i="4" s="1"/>
  <c r="AI120" i="1"/>
  <c r="I120" i="4" s="1"/>
  <c r="K120" i="4" s="1"/>
  <c r="AI24" i="1"/>
  <c r="I24" i="4" s="1"/>
  <c r="K24" i="4" s="1"/>
  <c r="AI135" i="1"/>
  <c r="I135" i="4" s="1"/>
  <c r="K135" i="4" s="1"/>
  <c r="AI21" i="1"/>
  <c r="I21" i="4" s="1"/>
  <c r="J21" i="4" s="1"/>
  <c r="AI58" i="1"/>
  <c r="I58" i="4" s="1"/>
  <c r="J58" i="4" s="1"/>
  <c r="AI46" i="1"/>
  <c r="I46" i="4" s="1"/>
  <c r="L46" i="4" s="1"/>
  <c r="AI129" i="1"/>
  <c r="I129" i="4" s="1"/>
  <c r="L129" i="4" s="1"/>
  <c r="AI82" i="1"/>
  <c r="I82" i="4" s="1"/>
  <c r="J82" i="4" s="1"/>
  <c r="AI23" i="1"/>
  <c r="I23" i="4" s="1"/>
  <c r="J23" i="4" s="1"/>
  <c r="AI30" i="1"/>
  <c r="I30" i="4" s="1"/>
  <c r="L30" i="4" s="1"/>
  <c r="AI54" i="1"/>
  <c r="I54" i="4" s="1"/>
  <c r="L54" i="4" s="1"/>
  <c r="AI128" i="1"/>
  <c r="I128" i="4" s="1"/>
  <c r="L128" i="4" s="1"/>
  <c r="AI64" i="1"/>
  <c r="I64" i="4" s="1"/>
  <c r="K64" i="4" s="1"/>
  <c r="AI44" i="1"/>
  <c r="I44" i="4" s="1"/>
  <c r="K44" i="4" s="1"/>
  <c r="AI26" i="1"/>
  <c r="I26" i="4" s="1"/>
  <c r="L26" i="4" s="1"/>
  <c r="AI42" i="1"/>
  <c r="I42" i="4" s="1"/>
  <c r="L42" i="4" s="1"/>
  <c r="AI56" i="1"/>
  <c r="I56" i="4" s="1"/>
  <c r="K56" i="4" s="1"/>
  <c r="AI17" i="1"/>
  <c r="I17" i="4" s="1"/>
  <c r="L17" i="4" s="1"/>
  <c r="AI110" i="1"/>
  <c r="I110" i="4" s="1"/>
  <c r="J110" i="4" s="1"/>
  <c r="AI68" i="1"/>
  <c r="I68" i="4" s="1"/>
  <c r="M68" i="4" s="1"/>
  <c r="AI66" i="1"/>
  <c r="I66" i="4" s="1"/>
  <c r="L66" i="4" s="1"/>
  <c r="AI27" i="1"/>
  <c r="I27" i="4" s="1"/>
  <c r="L27" i="4" s="1"/>
  <c r="AI137" i="1"/>
  <c r="I137" i="4" s="1"/>
  <c r="J137" i="4" s="1"/>
  <c r="AI37" i="1"/>
  <c r="I37" i="4" s="1"/>
  <c r="K37" i="4" s="1"/>
  <c r="AI132" i="1"/>
  <c r="I132" i="4" s="1"/>
  <c r="J132" i="4" s="1"/>
  <c r="AI57" i="1"/>
  <c r="I57" i="4" s="1"/>
  <c r="J57" i="4" s="1"/>
  <c r="AI53" i="1"/>
  <c r="I53" i="4" s="1"/>
  <c r="L53" i="4" s="1"/>
  <c r="AI121" i="1"/>
  <c r="I121" i="4" s="1"/>
  <c r="K121" i="4" s="1"/>
  <c r="AI81" i="1"/>
  <c r="I81" i="4" s="1"/>
  <c r="J81" i="4" s="1"/>
  <c r="AI86" i="1"/>
  <c r="I86" i="4" s="1"/>
  <c r="N86" i="4" s="1"/>
  <c r="AI69" i="1"/>
  <c r="I69" i="4" s="1"/>
  <c r="L69" i="4" s="1"/>
  <c r="AI65" i="1"/>
  <c r="I65" i="4" s="1"/>
  <c r="M65" i="4" s="1"/>
  <c r="AI36" i="1"/>
  <c r="I36" i="4" s="1"/>
  <c r="J36" i="4" s="1"/>
  <c r="AI114" i="1"/>
  <c r="I114" i="4" s="1"/>
  <c r="K114" i="4" s="1"/>
  <c r="AI35" i="1"/>
  <c r="I35" i="4" s="1"/>
  <c r="L35" i="4" s="1"/>
  <c r="AI55" i="1"/>
  <c r="I55" i="4" s="1"/>
  <c r="L55" i="4" s="1"/>
  <c r="AI16" i="1"/>
  <c r="I16" i="4" s="1"/>
  <c r="L16" i="4" s="1"/>
  <c r="AI109" i="1"/>
  <c r="I109" i="4" s="1"/>
  <c r="M109" i="4" s="1"/>
  <c r="AI84" i="1"/>
  <c r="I84" i="4" s="1"/>
  <c r="J84" i="4" s="1"/>
  <c r="AI117" i="1"/>
  <c r="I117" i="4" s="1"/>
  <c r="J117" i="4" s="1"/>
  <c r="AI112" i="1"/>
  <c r="I112" i="4" s="1"/>
  <c r="L112" i="4" s="1"/>
  <c r="AI51" i="1"/>
  <c r="I51" i="4" s="1"/>
  <c r="M51" i="4" s="1"/>
  <c r="AI95" i="1"/>
  <c r="I95" i="4" s="1"/>
  <c r="K95" i="4" s="1"/>
  <c r="AI39" i="1"/>
  <c r="I39" i="4" s="1"/>
  <c r="L39" i="4" s="1"/>
  <c r="AI138" i="1"/>
  <c r="I138" i="4" s="1"/>
  <c r="J138" i="4" s="1"/>
  <c r="AI94" i="1"/>
  <c r="I94" i="4" s="1"/>
  <c r="K94" i="4" s="1"/>
  <c r="AI28" i="1"/>
  <c r="I28" i="4" s="1"/>
  <c r="K28" i="4" s="1"/>
  <c r="AO75" i="1"/>
  <c r="C75" i="4" s="1"/>
  <c r="F75" i="4" s="1"/>
  <c r="AO74" i="1"/>
  <c r="C74" i="4" s="1"/>
  <c r="F74" i="4" s="1"/>
  <c r="AE19" i="6" l="1"/>
  <c r="AF19" i="6"/>
  <c r="AJ19" i="6"/>
  <c r="AH19" i="6"/>
  <c r="AG19" i="6"/>
  <c r="AK19" i="6"/>
  <c r="AI19" i="6"/>
  <c r="AG129" i="6"/>
  <c r="AE58" i="6"/>
  <c r="AH32" i="6"/>
  <c r="AF12" i="6"/>
  <c r="AG128" i="6"/>
  <c r="AG46" i="6"/>
  <c r="AK98" i="6"/>
  <c r="AK122" i="6"/>
  <c r="AD77" i="6"/>
  <c r="AK90" i="6"/>
  <c r="AG59" i="6"/>
  <c r="AG51" i="6"/>
  <c r="AG86" i="6"/>
  <c r="AF30" i="6"/>
  <c r="AJ43" i="6"/>
  <c r="AK58" i="6"/>
  <c r="AE32" i="6"/>
  <c r="AF141" i="6"/>
  <c r="AF75" i="6"/>
  <c r="AE26" i="6"/>
  <c r="AF140" i="6"/>
  <c r="AE98" i="6"/>
  <c r="AH143" i="6"/>
  <c r="AG122" i="6"/>
  <c r="AJ87" i="6"/>
  <c r="AD90" i="6"/>
  <c r="AD67" i="6"/>
  <c r="AI109" i="6"/>
  <c r="AE86" i="6"/>
  <c r="AD121" i="6"/>
  <c r="AG137" i="6"/>
  <c r="AE42" i="6"/>
  <c r="AD30" i="6"/>
  <c r="AH141" i="6"/>
  <c r="AD101" i="6"/>
  <c r="AE20" i="6"/>
  <c r="AD140" i="6"/>
  <c r="AH122" i="6"/>
  <c r="AF87" i="6"/>
  <c r="AI129" i="6"/>
  <c r="AG134" i="6"/>
  <c r="AD102" i="6"/>
  <c r="AF36" i="6"/>
  <c r="AI57" i="6"/>
  <c r="AG42" i="6"/>
  <c r="AK127" i="6"/>
  <c r="AK12" i="6"/>
  <c r="AJ141" i="6"/>
  <c r="AI108" i="6"/>
  <c r="AI101" i="6"/>
  <c r="AD131" i="6"/>
  <c r="AK75" i="6"/>
  <c r="AK82" i="6"/>
  <c r="AD46" i="6"/>
  <c r="AH124" i="6"/>
  <c r="AJ143" i="6"/>
  <c r="AE122" i="6"/>
  <c r="AI77" i="6"/>
  <c r="AG88" i="6"/>
  <c r="AD129" i="6"/>
  <c r="AI33" i="6"/>
  <c r="AH24" i="6"/>
  <c r="AH120" i="6"/>
  <c r="AE45" i="6"/>
  <c r="AK59" i="6"/>
  <c r="AD109" i="6"/>
  <c r="AD36" i="6"/>
  <c r="AF121" i="6"/>
  <c r="AI37" i="6"/>
  <c r="AE83" i="6"/>
  <c r="AG30" i="6"/>
  <c r="AG21" i="6"/>
  <c r="AD12" i="6"/>
  <c r="AE101" i="6"/>
  <c r="AI128" i="6"/>
  <c r="AJ75" i="6"/>
  <c r="AJ82" i="6"/>
  <c r="AE140" i="6"/>
  <c r="AI88" i="6"/>
  <c r="AH135" i="6"/>
  <c r="AE51" i="6"/>
  <c r="AE35" i="6"/>
  <c r="AF93" i="6"/>
  <c r="AK83" i="6"/>
  <c r="AE128" i="6"/>
  <c r="AD75" i="6"/>
  <c r="AG82" i="6"/>
  <c r="AE60" i="6"/>
  <c r="AF88" i="6"/>
  <c r="AJ135" i="6"/>
  <c r="AK51" i="6"/>
  <c r="AG35" i="6"/>
  <c r="AH93" i="6"/>
  <c r="AG57" i="6"/>
  <c r="AI12" i="6"/>
  <c r="AJ119" i="6"/>
  <c r="AJ128" i="6"/>
  <c r="AH20" i="6"/>
  <c r="AJ46" i="6"/>
  <c r="AH140" i="6"/>
  <c r="AE143" i="6"/>
  <c r="AJ60" i="6"/>
  <c r="AI90" i="6"/>
  <c r="AD88" i="6"/>
  <c r="AI135" i="6"/>
  <c r="AE134" i="6"/>
  <c r="AI102" i="6"/>
  <c r="AD120" i="6"/>
  <c r="AI125" i="6"/>
  <c r="AD51" i="6"/>
  <c r="AD35" i="6"/>
  <c r="AG93" i="6"/>
  <c r="AF57" i="6"/>
  <c r="AJ137" i="6"/>
  <c r="AD83" i="6"/>
  <c r="AK42" i="6"/>
  <c r="AE12" i="6"/>
  <c r="AG119" i="6"/>
  <c r="AE75" i="6"/>
  <c r="AF46" i="6"/>
  <c r="AD60" i="6"/>
  <c r="AG90" i="6"/>
  <c r="AE129" i="6"/>
  <c r="AF102" i="6"/>
  <c r="AG109" i="6"/>
  <c r="AE36" i="6"/>
  <c r="AD57" i="6"/>
  <c r="AI22" i="6"/>
  <c r="AH101" i="6"/>
  <c r="AF119" i="6"/>
  <c r="AH44" i="6"/>
  <c r="AH131" i="6"/>
  <c r="AH128" i="6"/>
  <c r="AH75" i="6"/>
  <c r="AG20" i="6"/>
  <c r="AI82" i="6"/>
  <c r="AH46" i="6"/>
  <c r="AK140" i="6"/>
  <c r="AG60" i="6"/>
  <c r="AG77" i="6"/>
  <c r="AJ90" i="6"/>
  <c r="AH88" i="6"/>
  <c r="AH129" i="6"/>
  <c r="AG135" i="6"/>
  <c r="AG33" i="6"/>
  <c r="AF134" i="6"/>
  <c r="AG102" i="6"/>
  <c r="AI120" i="6"/>
  <c r="AH59" i="6"/>
  <c r="AJ113" i="6"/>
  <c r="AJ47" i="6"/>
  <c r="AJ51" i="6"/>
  <c r="AE109" i="6"/>
  <c r="AK35" i="6"/>
  <c r="AK36" i="6"/>
  <c r="AK93" i="6"/>
  <c r="AG121" i="6"/>
  <c r="AJ57" i="6"/>
  <c r="AG37" i="6"/>
  <c r="AF137" i="6"/>
  <c r="AG83" i="6"/>
  <c r="AJ17" i="6"/>
  <c r="AI30" i="6"/>
  <c r="AH123" i="6"/>
  <c r="AH21" i="6"/>
  <c r="AG101" i="6"/>
  <c r="AI131" i="6"/>
  <c r="AK20" i="6"/>
  <c r="AK77" i="6"/>
  <c r="AJ129" i="6"/>
  <c r="AH134" i="6"/>
  <c r="AH102" i="6"/>
  <c r="AH113" i="6"/>
  <c r="AI51" i="6"/>
  <c r="AK109" i="6"/>
  <c r="AJ35" i="6"/>
  <c r="AI36" i="6"/>
  <c r="AI121" i="6"/>
  <c r="AH37" i="6"/>
  <c r="AK17" i="6"/>
  <c r="AI123" i="6"/>
  <c r="AJ21" i="6"/>
  <c r="AJ12" i="6"/>
  <c r="AK22" i="6"/>
  <c r="AJ101" i="6"/>
  <c r="AI119" i="6"/>
  <c r="AI44" i="6"/>
  <c r="AK131" i="6"/>
  <c r="AK128" i="6"/>
  <c r="AI75" i="6"/>
  <c r="AJ20" i="6"/>
  <c r="AH82" i="6"/>
  <c r="AK46" i="6"/>
  <c r="AI140" i="6"/>
  <c r="AK124" i="6"/>
  <c r="AK143" i="6"/>
  <c r="AI60" i="6"/>
  <c r="AJ77" i="6"/>
  <c r="AH90" i="6"/>
  <c r="AK88" i="6"/>
  <c r="AK129" i="6"/>
  <c r="AK135" i="6"/>
  <c r="AH33" i="6"/>
  <c r="AK134" i="6"/>
  <c r="AK24" i="6"/>
  <c r="AK102" i="6"/>
  <c r="AK120" i="6"/>
  <c r="AJ59" i="6"/>
  <c r="AJ125" i="6"/>
  <c r="AK113" i="6"/>
  <c r="AI47" i="6"/>
  <c r="AH51" i="6"/>
  <c r="AJ109" i="6"/>
  <c r="AI35" i="6"/>
  <c r="AJ36" i="6"/>
  <c r="AJ93" i="6"/>
  <c r="AK121" i="6"/>
  <c r="AK57" i="6"/>
  <c r="AK37" i="6"/>
  <c r="AK137" i="6"/>
  <c r="AI83" i="6"/>
  <c r="AH17" i="6"/>
  <c r="AJ42" i="6"/>
  <c r="AK30" i="6"/>
  <c r="AK123" i="6"/>
  <c r="AK21" i="6"/>
  <c r="AD134" i="6"/>
  <c r="AD139" i="6"/>
  <c r="AI139" i="6"/>
  <c r="AJ139" i="6"/>
  <c r="AH139" i="6"/>
  <c r="AK139" i="6"/>
  <c r="AG139" i="6"/>
  <c r="AF139" i="6"/>
  <c r="AE139" i="6"/>
  <c r="AD11" i="6"/>
  <c r="AI11" i="6"/>
  <c r="AH11" i="6"/>
  <c r="AG11" i="6"/>
  <c r="AF11" i="6"/>
  <c r="AK11" i="6"/>
  <c r="AE11" i="6"/>
  <c r="AJ11" i="6"/>
  <c r="AD63" i="6"/>
  <c r="AI63" i="6"/>
  <c r="AJ63" i="6"/>
  <c r="AH63" i="6"/>
  <c r="AK63" i="6"/>
  <c r="AF63" i="6"/>
  <c r="AE63" i="6"/>
  <c r="AG63" i="6"/>
  <c r="AD69" i="6"/>
  <c r="AJ69" i="6"/>
  <c r="AG69" i="6"/>
  <c r="AE69" i="6"/>
  <c r="AI69" i="6"/>
  <c r="AK69" i="6"/>
  <c r="AH69" i="6"/>
  <c r="AF69" i="6"/>
  <c r="AD97" i="6"/>
  <c r="AK97" i="6"/>
  <c r="AJ97" i="6"/>
  <c r="AI97" i="6"/>
  <c r="AF97" i="6"/>
  <c r="AE97" i="6"/>
  <c r="AG97" i="6"/>
  <c r="AH97" i="6"/>
  <c r="AD65" i="6"/>
  <c r="AK65" i="6"/>
  <c r="AJ65" i="6"/>
  <c r="AH65" i="6"/>
  <c r="AF65" i="6"/>
  <c r="AE65" i="6"/>
  <c r="AG65" i="6"/>
  <c r="AI65" i="6"/>
  <c r="AD64" i="6"/>
  <c r="AK64" i="6"/>
  <c r="AJ64" i="6"/>
  <c r="AH64" i="6"/>
  <c r="AF64" i="6"/>
  <c r="AE64" i="6"/>
  <c r="AG64" i="6"/>
  <c r="AI64" i="6"/>
  <c r="AD55" i="6"/>
  <c r="AI55" i="6"/>
  <c r="AJ55" i="6"/>
  <c r="AF55" i="6"/>
  <c r="AE55" i="6"/>
  <c r="AH55" i="6"/>
  <c r="AG55" i="6"/>
  <c r="AK55" i="6"/>
  <c r="AD27" i="6"/>
  <c r="AI27" i="6"/>
  <c r="AJ27" i="6"/>
  <c r="AG27" i="6"/>
  <c r="AK27" i="6"/>
  <c r="AH27" i="6"/>
  <c r="AF27" i="6"/>
  <c r="AE27" i="6"/>
  <c r="AD66" i="6"/>
  <c r="AH66" i="6"/>
  <c r="AG66" i="6"/>
  <c r="AJ66" i="6"/>
  <c r="AK66" i="6"/>
  <c r="AI66" i="6"/>
  <c r="AF66" i="6"/>
  <c r="AE66" i="6"/>
  <c r="AD54" i="6"/>
  <c r="AK54" i="6"/>
  <c r="AJ54" i="6"/>
  <c r="AH54" i="6"/>
  <c r="AF54" i="6"/>
  <c r="AE54" i="6"/>
  <c r="AI54" i="6"/>
  <c r="AG54" i="6"/>
  <c r="AD31" i="6"/>
  <c r="AK31" i="6"/>
  <c r="AJ31" i="6"/>
  <c r="AF31" i="6"/>
  <c r="AE31" i="6"/>
  <c r="AG31" i="6"/>
  <c r="AH31" i="6"/>
  <c r="AI31" i="6"/>
  <c r="AD99" i="6"/>
  <c r="AI99" i="6"/>
  <c r="AK99" i="6"/>
  <c r="AH99" i="6"/>
  <c r="AJ99" i="6"/>
  <c r="AF99" i="6"/>
  <c r="AG99" i="6"/>
  <c r="AE99" i="6"/>
  <c r="AD85" i="6"/>
  <c r="AJ85" i="6"/>
  <c r="AK85" i="6"/>
  <c r="AG85" i="6"/>
  <c r="AE85" i="6"/>
  <c r="AI85" i="6"/>
  <c r="AH85" i="6"/>
  <c r="AF85" i="6"/>
  <c r="AD100" i="6"/>
  <c r="AI100" i="6"/>
  <c r="AK100" i="6"/>
  <c r="AJ100" i="6"/>
  <c r="AF100" i="6"/>
  <c r="AG100" i="6"/>
  <c r="AH100" i="6"/>
  <c r="AE100" i="6"/>
  <c r="AD84" i="6"/>
  <c r="AK84" i="6"/>
  <c r="AJ84" i="6"/>
  <c r="AI84" i="6"/>
  <c r="AG84" i="6"/>
  <c r="AH84" i="6"/>
  <c r="AF84" i="6"/>
  <c r="AE84" i="6"/>
  <c r="I6" i="4"/>
  <c r="J6" i="4" s="1"/>
</calcChain>
</file>

<file path=xl/sharedStrings.xml><?xml version="1.0" encoding="utf-8"?>
<sst xmlns="http://schemas.openxmlformats.org/spreadsheetml/2006/main" count="1706" uniqueCount="424">
  <si>
    <t xml:space="preserve">Publication </t>
  </si>
  <si>
    <t xml:space="preserve">Year </t>
  </si>
  <si>
    <t>Month</t>
  </si>
  <si>
    <t>Last Name (1st Author)</t>
  </si>
  <si>
    <t>Paper Title</t>
  </si>
  <si>
    <t>Process (CMOS_Bulk, CMOS_SOI, CMOS_FinFET, SiGe)</t>
  </si>
  <si>
    <t>Dimension (1D, 2D)</t>
  </si>
  <si>
    <t>Single Element Performance</t>
  </si>
  <si>
    <t>TX Efficiency (%)</t>
  </si>
  <si>
    <t>TX Conversion Gain (dB)</t>
  </si>
  <si>
    <t>RX NF (dB)</t>
  </si>
  <si>
    <t>RX Conversion Gain (dB)</t>
  </si>
  <si>
    <t>Frequency (GHz)</t>
  </si>
  <si>
    <t>A 0.42THz 9.2dBm 64-Pixel Source-Array SoC with Spatial Modulation Diversity for Computational Terahertz Imaging</t>
  </si>
  <si>
    <t>ISSCC</t>
  </si>
  <si>
    <t>Jain</t>
  </si>
  <si>
    <t>Tech Node (nm)</t>
  </si>
  <si>
    <t>SiGe</t>
  </si>
  <si>
    <t>A 0.59THz Beam-Steerable Coherent Radiator Array with 1mW Radiated Power and 24.1dBm EIRP in 40nm CMOS</t>
  </si>
  <si>
    <t>Guo</t>
  </si>
  <si>
    <t>CMOS_Bulk</t>
  </si>
  <si>
    <t>A 660-to-676GHz 4×2 Oscillator-Radiator Array with Intrinsic Frequency-Filtering Feedback for Harmonic Power Boost Achieving 7.4dBm EIRP in 40nm CMOS</t>
  </si>
  <si>
    <t>Guimaraes</t>
  </si>
  <si>
    <t>A 490GHz 32mW Fully Integrated CMOS Receiver Adopting Dual-Locking FLL</t>
  </si>
  <si>
    <t>Choi</t>
  </si>
  <si>
    <t>Type (TX, RX, TRX, Oscillator)</t>
  </si>
  <si>
    <t>Oscillator</t>
  </si>
  <si>
    <t>N/A</t>
  </si>
  <si>
    <t>A 4×4 Distributed Multi-Layer Oscillator Network for Harmonic Injection and THz Beamforming with 14dBm EIRP at 416GHz in a Lensless 65nm CMOS IC</t>
  </si>
  <si>
    <t>Saeidi</t>
  </si>
  <si>
    <t>A Fully Integrated Coherent 50–500-GHz Frequency Comb Receiver for Broadband Sensing and Imaging Applications</t>
  </si>
  <si>
    <t>RFIC</t>
  </si>
  <si>
    <t>Razavian</t>
  </si>
  <si>
    <t>RX</t>
  </si>
  <si>
    <t>THz Prism: One-Shot Simultaneous Multi-Node Angular Localization Using Spectrum-to-Space Mapping with 360-to-400GHz Broadband Transceiver and Dual-Port Integrated Leaky-Wave Antennas</t>
  </si>
  <si>
    <t>TRX</t>
  </si>
  <si>
    <t>TX Psat/Prad (dBm)</t>
  </si>
  <si>
    <t>A 300GHz-Band Phased-Array Transceiver Using Bi-Directional Outphasing and Hartley Architecture in 65nm CMOS</t>
  </si>
  <si>
    <t>Abdo</t>
  </si>
  <si>
    <t>A 0.42THz Coherent TX-RX System Achieving 10dBm EIRP and 27dB NF in 40nm CMOS for Phase-Contrast Imaging</t>
  </si>
  <si>
    <t>Simic</t>
  </si>
  <si>
    <t>TX</t>
  </si>
  <si>
    <t>A 250GHz Autodyne FMCW Radar in 55nm BiCMOS with Micrometer Range Resolution</t>
  </si>
  <si>
    <t xml:space="preserve"> Naghavi</t>
  </si>
  <si>
    <t>A 436-to-467GHz Lens-Integrated Reconfigurable Radiating Source with Continuous 2D Steering and Multi-Beam Operations in 65nm CMOS</t>
  </si>
  <si>
    <t>Jalili</t>
  </si>
  <si>
    <t>A 605GHz 0.84mW Harmonic Injection-Locked Receiver Achieving 2.3pW/√Hz NEP in 28nm CMOS</t>
  </si>
  <si>
    <t>Vroede</t>
  </si>
  <si>
    <t>An Eight-Element 370–410-GHz Phased-Array Transmitter in 45-nm CMOS SOI With Peak EIRP of 8–8.5 dBm</t>
  </si>
  <si>
    <t>TMTT</t>
  </si>
  <si>
    <t>Yang</t>
  </si>
  <si>
    <t>CMOS_SOI</t>
  </si>
  <si>
    <t>A High-Speed 390GHz BPOOK Transmitter in 28nm CMOS</t>
  </si>
  <si>
    <t>D'heer</t>
  </si>
  <si>
    <t>CICC</t>
  </si>
  <si>
    <t>Chi</t>
  </si>
  <si>
    <t>A bidirectional lens-free digital-bits-in/-out 0.57mm2 Terahertz nano-radio in CMOS with 49.3mW peak power consumption supporting 50cm Internet-of-Things communication</t>
  </si>
  <si>
    <t>An 80Gb/s 300GHz-Band Single-Chip CMOS Transceiver</t>
  </si>
  <si>
    <t>Lee</t>
  </si>
  <si>
    <t>A packaged 90-to-300GHz transmitter and 115-to-325GHz coherent receiver in CMOS for full-band continuous-wave mm-wave hyperspectral imaging</t>
  </si>
  <si>
    <t>D-band Phased-Array TX and RX Front Ends Utilizing Radio-on-Glass Technology</t>
  </si>
  <si>
    <t>Elkhouly</t>
  </si>
  <si>
    <t>TX FE</t>
  </si>
  <si>
    <t>RX FE</t>
  </si>
  <si>
    <t>A 145GHz FMCW-Radar Transceiver in 28nm CMOS</t>
  </si>
  <si>
    <t>Visweswaran</t>
  </si>
  <si>
    <t>Fully Integrated 2D Scalable TX/RX Chipset for D-Band Phased-Array-on-Glass Modules</t>
  </si>
  <si>
    <t>An Eight-Element 136–147 GHz Wafer-Scale Phased-Array Transmitter With 32 dBm Peak EIRP and &gt;16 Gbps 16QAM and 64QAM Operation</t>
  </si>
  <si>
    <t>JSSC</t>
  </si>
  <si>
    <t>Li</t>
  </si>
  <si>
    <t>An Eight-Element 140-GHz Wafer-Scale IF Beamforming Phased-Array Receiver With 64-QAM Operation in CMOS RFSOI</t>
  </si>
  <si>
    <t>A 108–112 GHz 4×4 wafer-scale phased array transmitter with high-efficiency on-chip antennas</t>
  </si>
  <si>
    <t>Shin</t>
  </si>
  <si>
    <t>A 120Gb/s 16QAM CMOS millimeter-wave wireless transceiver</t>
  </si>
  <si>
    <t>Tokgoz</t>
  </si>
  <si>
    <t>A 90 - 100-GHz 4 x 4 SiGe BiCMOS Polarimetric Transmit/Receive Phased Array With Simultaneous Receive-Beams Capabilities</t>
  </si>
  <si>
    <t>Golcuk</t>
  </si>
  <si>
    <t>TRX FE</t>
  </si>
  <si>
    <t>A 16-element W-band phased array transceiver chipset with flip-chip PCB integrated antennas for multi-gigabit data links</t>
  </si>
  <si>
    <t>Shahramian</t>
  </si>
  <si>
    <t>A fully integrated scalable W-band phased-array module with integrated antennas, self-alignment and self-test</t>
  </si>
  <si>
    <t>A fully-integrated dual-polarization 16-element W-band phased-array transceiver in SiGe BiCMOS</t>
  </si>
  <si>
    <t>Valdes-Garcia</t>
  </si>
  <si>
    <t>A 71-76/81-86 GHz, E-band,16-Element Phased-Array Transceiver Module With Image Selection Architecture for Low EVM Variation</t>
  </si>
  <si>
    <t>Ebrahimi</t>
  </si>
  <si>
    <t>A 60GHz 144-element phased-array transceiver with 51dBm maximum EIRP and ±60° beam steering for backhaul application</t>
  </si>
  <si>
    <t>Sowlati</t>
  </si>
  <si>
    <t>A 24.5-43.5GHz Compact RX with Calibration-Free 32-56dB Full-Frequency Instantaneously Wideband Image Rejection Supporting Multi-Gb/s 64-QAM/256-QAM for Multi-Band 5G Massive MIMO</t>
  </si>
  <si>
    <t>Huang</t>
  </si>
  <si>
    <t>A 27-to-41GHz MIMO Receiver with N-Input-N-Output Using Scalable Cascadable Autonomous Array-Based High-Order Spatial Filters for Instinctual Full-FoV Multi-Blocker/Signal Management</t>
  </si>
  <si>
    <t>Wang</t>
  </si>
  <si>
    <t>A 39GHz 64-Element Phased-Array CMOS Transceiver with Built-in Calibration for Large-Array 5G NR</t>
  </si>
  <si>
    <t>A 23-to-30GHz hybrid beamforming MIMO receiver array with closed-loop multistage front-end beamformers for full-FoV dynamic and autonomous unknown signal tracking and blocker rejection</t>
  </si>
  <si>
    <t>A 64-Element 28-GHz Phased-Array Transceiver With 52-dBm EIRP and 8–12-Gb/s 5G Link at 300 Meters Without Any Calibration</t>
  </si>
  <si>
    <t xml:space="preserve"> Kibaroglu</t>
  </si>
  <si>
    <t>A 28GHz 32-element phased-array transceiver IC with concurrent dual polarized beams and 1.4 degree beam-steering resolution for 5G communication</t>
  </si>
  <si>
    <t>Sadhu</t>
  </si>
  <si>
    <t>A 28GHz CMOS Phased-Array Beamformer Utilizing Neutralized Bi-Directional Technique Supporting Dual-Polarized MIMO for 5G NR</t>
  </si>
  <si>
    <t>Pang</t>
  </si>
  <si>
    <t>A 28GHz Bulk-CMOS dual-polarization phased-array transceiver with 24 channels for 5G user and basestation equipment</t>
  </si>
  <si>
    <t>Dunworth</t>
  </si>
  <si>
    <t>A 25–34-GHz Eight-Element MIMO Transmitter for Keyless High Throughput Directionally Secure Communication</t>
  </si>
  <si>
    <t>Mannem</t>
  </si>
  <si>
    <t>A 4Rx, 4Tx Ka-band transceiver in 40nm bulk CMOS technology for satellite terminal applications</t>
  </si>
  <si>
    <t>Wong</t>
  </si>
  <si>
    <t>Singh</t>
  </si>
  <si>
    <t>A D-Band Radio-on-Glass Module for Spectrally-Efficient and Low-Cost Wireless Backhaul</t>
  </si>
  <si>
    <t>A Multi-Band 16–52-GHz Transmit Phased Array Employing 4 × 1 Beamforming IC With 14–15.4-dBm Psat for 5G NR FR2 Operation</t>
  </si>
  <si>
    <t>Alhamed</t>
  </si>
  <si>
    <t>A Multiband/Multistandard 15–57 GHz Receive Phased-Array Module Based on 4 × 1 Beamformer IC and Supporting 5G NR FR2 Operation</t>
  </si>
  <si>
    <t>A 28-GHz Phased-Array Relay Transceiver for 5G Network Using Vector-Summing Backscatter With 24-GHz Wireless Power and LO Transfer</t>
  </si>
  <si>
    <t>Ide</t>
  </si>
  <si>
    <t>Optically Synchronized Phased Arrays in CMOS</t>
  </si>
  <si>
    <t>Gal-Katziri</t>
  </si>
  <si>
    <t>A 0.31-THz Orbital-Angular-Momentum (OAM) Wave Transceiver in CMOS With Bits-to-OAM Mode Mapping</t>
  </si>
  <si>
    <t>Khan</t>
  </si>
  <si>
    <t>A 24–29.5-GHz Highly Linear Phased-Array Transceiver Front-End in 65-nm CMOS Supporting 800-MHz 64-QAM and 400-MHz 256-QAM for 5G New Radio</t>
  </si>
  <si>
    <t>Yi</t>
  </si>
  <si>
    <t>A 0.68–0.72-THz 2-D Scalable Radiator Array With –3-dBm Radiated Power and 27.3-dBm EIRP in 65-nm CMOS</t>
  </si>
  <si>
    <t>Gao</t>
  </si>
  <si>
    <t>A 0.47-THz Ring Scalable Coupled Oscillator–Radiator Array With Miniature Patch Antennas</t>
  </si>
  <si>
    <t>A 4 × 4 Steerable 14-dBm EIRP Array on CMOS at 0.41 THz With a 2-D Distributed Oscillator Network</t>
  </si>
  <si>
    <t>W-band Scalable 2×2 Phased-Array Transmitter and Receiver Chipsets in SiGe BiCMOS for High Data-Rate Communication</t>
  </si>
  <si>
    <t>A 24–30-GHz 256-Element Dual-Polarized 5G Phased Array Using Fast On-Chip Beam Calculators and Magnetoelectric Dipole Antennas</t>
  </si>
  <si>
    <t>A mm-Wave Frequency Modulated Transmitter Array for Superior Resolution in Angular Localization Supporting Low-Latency Joint Communication and Sensing</t>
  </si>
  <si>
    <t>A 0.45-THz 2-D Scalable Radiator Array With 28.2-dBm EIRP Using an Elliptical Teflon Lens</t>
  </si>
  <si>
    <t>A D-Band 16-Element Phased-Array Transceiver in 55-nm BiCMOS</t>
  </si>
  <si>
    <t>Rio</t>
  </si>
  <si>
    <t>Area-Efficient 28-GHz Four-Element Phased-Array Transceiver Front-End Achieving 25.2% Tx Efficiency at 15.68-dBm Output Power</t>
  </si>
  <si>
    <t>Liu</t>
  </si>
  <si>
    <t>A Power-Efficient CMOS Multi-Band Phased-Array Receiver Covering 24–71-GHz Utilizing Harmonic-Selection Technique With 36-dB Inter-Band Blocker Tolerance for 5G NR</t>
  </si>
  <si>
    <t>Zhang</t>
  </si>
  <si>
    <t>A 17.7–19.2-GHz Receiver Front End With an Adaptive Analog Temperature- Compensation Scheme</t>
  </si>
  <si>
    <t>A 28-GHz Four-Channel Beamforming Front-End IC With Dual-Vector Variable Gain Phase Shifters for 64-Element Phased Array Antenna Module</t>
  </si>
  <si>
    <t>Park</t>
  </si>
  <si>
    <t>A 23–40-GHz Phased-Array Receiver Using 14-Bit Phase-Gain Manager and Wideband Noise-Canceling LNA</t>
  </si>
  <si>
    <t>Deng</t>
  </si>
  <si>
    <t>A K-Band Hybrid-Packaged Temperature-Compensated Phased-Array Receiver and Integrated Antenna Array</t>
  </si>
  <si>
    <t>Zhao</t>
  </si>
  <si>
    <t>An 8-Channel 5–33-GHz Transmit Phased Array Beamforming IC With 10.8–14.7-dBm Psat for C -, X -, Ku -, and Ka -Band SATCOM</t>
  </si>
  <si>
    <t>Kazan</t>
  </si>
  <si>
    <t>A 39-GHz CMOS Bidirectional Doherty Phased- Array Beamformer Using Shared-LUT DPD With Inter-Element Mismatch Compensation Technique for 5G Base Station</t>
  </si>
  <si>
    <t>Karakuzulu</t>
  </si>
  <si>
    <t>A Four-Channel Bidirectional D-Band Phased-Array Transceiver for 200 Gb/s 6G Wireless Communications in a 130-nm BiCMOS Technology</t>
  </si>
  <si>
    <t>A Reconfigurable Phase-Time Array Transmitter Achieving Keyless Secured Transmission and Multi-Receiver Localization for Low-Latency Joint Communication and Sensing</t>
  </si>
  <si>
    <t>8.0-pJ/bit BPSK Transmitter With LO Phase Steering and 52-Gbps Data Rate Operating at 246 GHz</t>
  </si>
  <si>
    <t>Steinweg</t>
  </si>
  <si>
    <t>A 33.5–37.5-GHz Four-Element Phased-Array Transceiver Front-End With Hybrid Architecture Phase Shifters and Gain Controllers</t>
  </si>
  <si>
    <t>Guan</t>
  </si>
  <si>
    <t>A 28-GHz, Multi-Beam, Decentralized Relay Array</t>
  </si>
  <si>
    <t>Nooshabadi</t>
  </si>
  <si>
    <t>Relay</t>
  </si>
  <si>
    <t>A Time-Modulated Concurrent Steerable Multibeam MIMO Receiver Array With Spectral-Spatial Mapping Using One Beamformer and Single-Wire Interface</t>
  </si>
  <si>
    <t>An 8-Element 5G Multistandard 28-/39-GHz Dual-Band, Dual-Polarized Phased Array for Compact Systems</t>
  </si>
  <si>
    <t>A 5.8-GHz Phased Array FMCW Doppler Radar Front End for Object Localization and Movement Tracking in 65-nm CMOS</t>
  </si>
  <si>
    <t>Naseh</t>
  </si>
  <si>
    <t>A Fully Integrated 160Gb/s D-Band Transmitter with 1.1 pJ/b Efficiency in 22nm FinFET Technology</t>
  </si>
  <si>
    <t>Callendar</t>
  </si>
  <si>
    <t>CMOS_FinFET</t>
  </si>
  <si>
    <t>A 140GHz Transceiver with Integrated Antenna, Inherent-Low-Loss Duplexing and Adaptive Self-Interference Cancellation for FMCW Monostatic Radar</t>
  </si>
  <si>
    <t>Chen</t>
  </si>
  <si>
    <t>A 23-to-29GHz Receiver with mm-Wave N-Input-N-Output Spatial Notch Filtering and Autonomous Notch-Steering Achieving 20-to-40dB mm-Wave Spatial Rejection and -14dBm In-Notch IP1 dB</t>
  </si>
  <si>
    <t>Electronic THz Pencil Beam Forming and 2D Steering for High Angular-Resolution Operation: A 98 × 98-Unit 265GHz CMOS Reflectarray with In-Unit Digital Beam Shaping and Squint Correction</t>
  </si>
  <si>
    <t>Monroe</t>
  </si>
  <si>
    <t>A 430GHz CMOS Concurrent Transceiver Pixel Array for High Angular Resolution Reflection-Mode Active Imaging</t>
  </si>
  <si>
    <t>Zhu</t>
  </si>
  <si>
    <t>A 300GHz 52mW CMOS Receiver with On-Chip LO Generation</t>
  </si>
  <si>
    <t>Memioglu</t>
  </si>
  <si>
    <t>A 3.4mW/element Radiation-Hardened Ka-Band CMOS Phased-Array Receiver Utilizing Magnetic-Tuning Phase Shifter for Small Satellite Constellation</t>
  </si>
  <si>
    <t>Fu</t>
  </si>
  <si>
    <t>A W-Band Transceiver Array with 2.4GHz LO Synchronization Enabling Full Scalability for FMCW Radar</t>
  </si>
  <si>
    <t>A 128Gb/s 1.95pJ/b D-Band Receiver with Integrated PLL and ADC in 22nm FinFET</t>
  </si>
  <si>
    <t xml:space="preserve"> Agrawal</t>
  </si>
  <si>
    <t>71-to-89GHz 12Gb/s Double-Edge-Triggered Quadrature RFDAC with LO Leakage Suppression Achieving 20.5dBm Peak Output Power and 20.4% System Efficiency</t>
  </si>
  <si>
    <t>A 4×4 607GHz Harmonic Injection-Locked Receiver Array Achieving 4.4pW/√Hz NEP in 28nm CMOS</t>
  </si>
  <si>
    <t>A 2.95mW/element Ka-band CMOS Phased-Array Receiver Utilizing On-Chip Distributed Radiation Sensors in Low-Earth-Orbit Small Satellite Constellation</t>
  </si>
  <si>
    <t>A 0.64-to-0.69THz Beam-Steerable Coherent Source with 9.1dBm Radiated Power and 30.8dBm Lensless EIRP in 65nm CMOS</t>
  </si>
  <si>
    <t>THz Cryo-CMOS Backscatter Transceiver: A Contactless 4 Kelvin-300 Kelvin Data Interface</t>
  </si>
  <si>
    <t>A Small-Satellite-Mounted 256-Element Ka-Band CMOS Phased-Array Transmitter Achieving 63.8dBm EIRP Under 26.6W Power Consumption Using Single/Dual Circular Polarization Active Coupler</t>
  </si>
  <si>
    <t>You</t>
  </si>
  <si>
    <t>Hua Wang, Integrated Devices, Electronics, And Systems (IDEAS) Lab</t>
  </si>
  <si>
    <t>Dept. of Information Technology and Electrical Engineering, ETH Zurich</t>
  </si>
  <si>
    <t>2. If you use this data collection in your publications and presentations, please cite it as follows:</t>
  </si>
  <si>
    <t>3. Acknowledgement:</t>
  </si>
  <si>
    <t>We would like to sincerely thank many of our friends and colleagues for their helpful suggestions and insightful discussions.</t>
  </si>
  <si>
    <t>4. Feedback and Suggestions:</t>
  </si>
  <si>
    <t>5. Source conferences and journals for this data collection:</t>
  </si>
  <si>
    <t>6. Notes:</t>
  </si>
  <si>
    <t>Thanks,</t>
  </si>
  <si>
    <t>Hua Wang</t>
  </si>
  <si>
    <t>7. Revisions History:</t>
  </si>
  <si>
    <t>Phased Array Survey 2010-Present</t>
  </si>
  <si>
    <t>Hua Wang, Yuqi Liu, Naga Sasikanth Mannem, "Phased Array Survey 2010-Present," [Online]. Available: https://ideas.ethz.ch/Surveys/phased-array-survey.html</t>
  </si>
  <si>
    <t>We welcome your feedback and suggestions, including the ways we interpret and present the data. In addition, although we try to be as inclusive as possible when collecting these published data, we may miss some representative phased array designs. Please feel free to send us feedback, suggestions, or any missing papers.</t>
  </si>
  <si>
    <t>Please contact us through yuqliu@iis.ee.ethz.ch.</t>
  </si>
  <si>
    <t>We focus on peer-reviewed and publicly accessible publications that are typical forums for phased arrays, including IEEE ISSCC, JSSC, RFIC, VLSI, CICC, ESSCIRC, IMS, T-MTT, TCAS, BCICTS , APMC, EuMC, and MWCL.</t>
  </si>
  <si>
    <t xml:space="preserve">20220721: This is the first public release (Version 1.0) that includes phased arrays from 10 GHz to 700 GHz implemented in commercially available technologies including bulk CMOS, CMOS SOI, SiGe and SiGe BiCMOS technologies. The dataset contains total 71 data points. Only array designs reported in peer-reviewed publications are included. </t>
  </si>
  <si>
    <t>IMS</t>
  </si>
  <si>
    <t>A 32-Element 28/39 GHz Dual-Band Dual-Beam 5G Phased-Array with 40 dBm EIRP and Simultaneous 64 QAM Operation</t>
  </si>
  <si>
    <t>TX # of Polarization</t>
  </si>
  <si>
    <t>Antenna on (None, Chip, AiP, PCB)</t>
  </si>
  <si>
    <t># of Antennas per Tile</t>
  </si>
  <si>
    <t># of Array Tile</t>
  </si>
  <si>
    <t>Total Number of Elements (TX + RX)</t>
  </si>
  <si>
    <t>RX # of Polarization</t>
  </si>
  <si>
    <t># of IC per Tile</t>
  </si>
  <si>
    <t>Total # of TX Elements</t>
  </si>
  <si>
    <t>Total # of RX Elements</t>
  </si>
  <si>
    <t>TX EIRP (dBm)</t>
  </si>
  <si>
    <t>TX Pdc (mW)</t>
  </si>
  <si>
    <t>RX Pdc (W)</t>
  </si>
  <si>
    <t>TX Pdc (W)</t>
  </si>
  <si>
    <t>Chip Core Size - X (mm)</t>
  </si>
  <si>
    <t>Chip Core Size -Y (mm)</t>
  </si>
  <si>
    <t>RX Pdc (mW)</t>
  </si>
  <si>
    <t># of RX Element per IC</t>
  </si>
  <si>
    <t># of TX Element per IC</t>
  </si>
  <si>
    <t>Total Pout/Prad (dBm)</t>
  </si>
  <si>
    <t>Chip</t>
  </si>
  <si>
    <t>Array Aperture Area / Element (mm2)</t>
  </si>
  <si>
    <t>Antenna Integration Type</t>
  </si>
  <si>
    <t>Physical Architecture</t>
  </si>
  <si>
    <t>None</t>
  </si>
  <si>
    <t>PCB</t>
  </si>
  <si>
    <t>AiP</t>
  </si>
  <si>
    <t xml:space="preserve"> # of Elements @ EIRP Measurement</t>
  </si>
  <si>
    <t>LTCC</t>
  </si>
  <si>
    <t>Organic</t>
  </si>
  <si>
    <t>Glass</t>
  </si>
  <si>
    <t>Array Aperture Size (cm2)</t>
  </si>
  <si>
    <t>Chip+Lens</t>
  </si>
  <si>
    <t>SLC</t>
  </si>
  <si>
    <t>Note</t>
  </si>
  <si>
    <t xml:space="preserve">Commericial Beamformer used. Shared dual-pol antenna with each pol corresponding to one band </t>
  </si>
  <si>
    <t>Zihir</t>
  </si>
  <si>
    <t>60-GHz 64- and 256-Elements Wafer-Scale Phased-Array Transmitters Using Full-Reticle and Subreticle Stitching Techniques</t>
  </si>
  <si>
    <t>Wafer-Scale Packaging</t>
  </si>
  <si>
    <t>A Fully Integrated 384-Element, 16-Tile, W -Band Phased Array With Self-Alignment and Self-Test</t>
  </si>
  <si>
    <t>Fully Integrated 94-GHz Dual-Polarized TX and RX Phased Array Chipset in SiGe BiCMOS Operating up to 105 °C</t>
  </si>
  <si>
    <t>Array Results from Gu et al. "An Enhanced 64-Element Dual-Polarization Antenna Array Package for W-Band Communication and Imaging Applications", ECTC 2018</t>
  </si>
  <si>
    <t>A Scalable 71-to-76GHz 64-Element Phased-Array Transceiver Module with 2×2 Direct-Conversion IC in 22nm FinFET CMOS Technology</t>
  </si>
  <si>
    <t>Pellerano</t>
  </si>
  <si>
    <t>A Quad-Band RX Phased-Array Receive Beamformer with Two Simultaneous Beams, Polarization Diversity, and 2.1–2.3 dB NF for C/X/Ku/Ka-Band SATCOM</t>
  </si>
  <si>
    <t>Hu</t>
  </si>
  <si>
    <t xml:space="preserve"> RX FE</t>
  </si>
  <si>
    <t>Dual polarization two simultaneous beams</t>
  </si>
  <si>
    <t>A 140 GHz Scalable On-Grid 8×8-Element Transmit-Receive Phased-Array with Up/Down Converters and 64QAM/24 Gbps Data Rates</t>
  </si>
  <si>
    <t>Ahmed</t>
  </si>
  <si>
    <t>A 256-Element Dual-Beam Polarization-Agile SATCOM Ku-Band Phased-Array With 5-dB/K G/T</t>
  </si>
  <si>
    <t>Gültepe</t>
  </si>
  <si>
    <t>A 1024-Element Ku-Band SATCOM Phased-Array Transmitter With 45-dBW Single-Polarization EIRP</t>
  </si>
  <si>
    <t>A 1024-Element Ku-Band SATCOM Dual-Polarized Receiver With &gt;10-dB/K G/T and Embedded Transmit Rejection Filter</t>
  </si>
  <si>
    <t>Commerical 8Ch TX Beamformer</t>
  </si>
  <si>
    <t>Intgeration of commerical 8Ch RX Beamformer and LNA</t>
  </si>
  <si>
    <t>Commerical RX Beamformer with 16 Channels and LNA used</t>
  </si>
  <si>
    <t>A 256-Element Ku-Band Polarization Agile SATCOM Transmit Phased Array With Wide-Scan Angles, Low Cross Polarization, Deep Nulls, and 36.5-dBW EIRP per Polarization</t>
  </si>
  <si>
    <t>Aljuhani</t>
  </si>
  <si>
    <t>A 256-Element Ku-Band Polarization Agile SATCOM Receive Phased Array With Wide-Angle Scanning and High Polarization Purity</t>
  </si>
  <si>
    <t>Commerical 8Ch RX Beamformer</t>
  </si>
  <si>
    <t>A 28-GHz Full-Duplex Phased Array Front-End Using Two Cross-Polarized Arrays and a Canceller</t>
  </si>
  <si>
    <t>A 57.5–65.5 GHz Phased-Array Transmit Beamformer in 45 nm CMOS SOI With 5 dBm and 6.1% Linear PAE for 400 MBaud 64-QAM Waveforms</t>
  </si>
  <si>
    <t>Wideband 23.5–29.5-GHz Phased Arrays for Multistandard 5G Applications and Carrier Aggregation</t>
  </si>
  <si>
    <t>Yin</t>
  </si>
  <si>
    <t>A 16-Channel, 28/39GHz Dual-Polarized 5G FR2 Phased-Array Transceiver IC with a Quad-Stream IF Transceiver Supporting Non-Contiguous Carrier Aggregation up to 1.6GHz BW</t>
  </si>
  <si>
    <t>Verma</t>
  </si>
  <si>
    <t>Dual band/path in each channel. IF TRX IC implemend in 14nm FinFET CMOS</t>
  </si>
  <si>
    <t>A Ka-Band Transmit Phased-Array Antenna-in-Package for SATCOM-on-the-Move User Terminals</t>
  </si>
  <si>
    <t>Raeesi</t>
  </si>
  <si>
    <t>A 1024-Element Ku-Band SATCOM Phased-Array Transmitter With 39.2-dBW EIRP and ± 53° Beam Scanning</t>
  </si>
  <si>
    <t>Each channel of beamformer drives 16x1 Antenna array</t>
  </si>
  <si>
    <t>Wideband Millimeter-Wave Microstrip Reflectarray Using Dual-Resonance Unit Cells</t>
  </si>
  <si>
    <t>AWPL</t>
  </si>
  <si>
    <t>Xia</t>
  </si>
  <si>
    <t>A dual polarization, broadband, millimeter-wave reflectarray using modified cross loop element</t>
  </si>
  <si>
    <t>Microwave and Optical Technology Letters</t>
  </si>
  <si>
    <t>Passive reflect aray. gain unit is dBi</t>
  </si>
  <si>
    <t>A Reconfigurable Intelligent Surface at mmWave Based on a Binary Phase Tunable Metasurface</t>
  </si>
  <si>
    <t>OJ-COMS</t>
  </si>
  <si>
    <t>Gros</t>
  </si>
  <si>
    <t>RIS aray. gain unit is dBi</t>
  </si>
  <si>
    <t>A Multibeam Folded Reflectarray Antenna With Wide Coverage and Integrated Primary Sources for Millimeter-Wave Massive MIMO Applications</t>
  </si>
  <si>
    <t>TAP</t>
  </si>
  <si>
    <t>Enabling Indoor Mobile Millimeter-wave Networks Based on Smart Reflect-arrays</t>
  </si>
  <si>
    <t>Tan</t>
  </si>
  <si>
    <t>INFOCOM</t>
  </si>
  <si>
    <t>Proof of Concept of a Dual-Band Circularly-Polarized RF MEMS Beam-Switching Reflectarray</t>
  </si>
  <si>
    <t>Guclu</t>
  </si>
  <si>
    <t>X-Band Reflectarray Antenna With Switching-Beam Using PIN Diodes and Gathered Elements</t>
  </si>
  <si>
    <t>Carrasco</t>
  </si>
  <si>
    <t>Carrier Frequency (GHz)</t>
  </si>
  <si>
    <t>Lambda/2 in air (mm)</t>
  </si>
  <si>
    <t>Sqrt(Chip Area/Element) (mm)</t>
  </si>
  <si>
    <t>Sqrt(Array Area/Element) (mm)</t>
  </si>
  <si>
    <t>Prad (dBm)</t>
  </si>
  <si>
    <t>EIRP (dBm)</t>
  </si>
  <si>
    <t>Pdc_TX (W)</t>
  </si>
  <si>
    <t>Aperture Size (cm2)</t>
  </si>
  <si>
    <t>Array Aperture Dimension -X (cm)</t>
  </si>
  <si>
    <t>Array Aperture Dimension -Y (cm)</t>
  </si>
  <si>
    <t>Prad/Pdc (%)</t>
  </si>
  <si>
    <t># of signal Chains per IC (TX+RX)</t>
  </si>
  <si>
    <t># of Signal Chains for each antenna (TX+RX+H+V)</t>
  </si>
  <si>
    <t>Max Package Thermal Density (W/cm2)</t>
  </si>
  <si>
    <t>Max Chip Thermal Density (W/cm2)</t>
  </si>
  <si>
    <t>Chip Core Area / Element (mm2)</t>
  </si>
  <si>
    <t>Chip Size (mm2)</t>
  </si>
  <si>
    <t>TX RX Co-Aperture (YES/NO)</t>
  </si>
  <si>
    <t>Chip Size -X (mm)</t>
  </si>
  <si>
    <t>Chip Size - Y (mm)</t>
  </si>
  <si>
    <t>Yes</t>
  </si>
  <si>
    <t>No</t>
  </si>
  <si>
    <t>Power Consumption of full radio including FE IC plus 4.5mm x 4.65mm SoC in 28nm CMOS with BB-IF radio occupying 2.5mm x 2.8mm</t>
  </si>
  <si>
    <t>DC power of entire heterogeneously integrated package of TX frontend, I/Q Upconverter, and frequency sextupler</t>
  </si>
  <si>
    <t>DC power of entire heterogeneously integrated package of RX frontend, I/Q Upconverter, and frequency sextupler</t>
  </si>
  <si>
    <t>WLCSP of CMOS RX and GaAS LNA</t>
  </si>
  <si>
    <t> Tousi</t>
  </si>
  <si>
    <t>A scalable THz 2D phased array with +17dBm of EIRP at 338GHz in 65nm bulk CMOS</t>
  </si>
  <si>
    <t>Natarajan</t>
  </si>
  <si>
    <t>A Fully-Integrated 16-Element Phased-Array Receiver in SiGe BiCMOS for 60-GHz Communications</t>
  </si>
  <si>
    <t>A Fully Integrated 16-Element Phased-Array Transmitter in SiGe BiCMOS for 60-GHz Communications</t>
  </si>
  <si>
    <t>Boers</t>
  </si>
  <si>
    <t>A 16TX/16RX 60 GHz 802.11ad Chipset With Single Coaxial Interface and Polarization Diversity</t>
  </si>
  <si>
    <t>TRX can choose one of two polarizations. Two chip radio solution with frontend chip and baseband chip</t>
  </si>
  <si>
    <t>Cohen</t>
  </si>
  <si>
    <t>A CMOS Bidirectional 32-Element Phased-Array Transceiver at 60 GHz With LTCC Antenna</t>
  </si>
  <si>
    <t>Emami</t>
  </si>
  <si>
    <t>A 60GHz CMOS phased-array transceiver pair for multi-Gb/s wireless communications</t>
  </si>
  <si>
    <t>Freq_TX (GHz)</t>
  </si>
  <si>
    <t>Freq_RX (GHz)</t>
  </si>
  <si>
    <t>Passive</t>
  </si>
  <si>
    <t>Publication Time_TX</t>
  </si>
  <si>
    <t>Publication Time_RX</t>
  </si>
  <si>
    <t>Total # of Elements_TX</t>
  </si>
  <si>
    <t>Total # of Elements_RX</t>
  </si>
  <si>
    <t>Freq_TRX (GHz)</t>
  </si>
  <si>
    <t>Publication Time_TRX</t>
  </si>
  <si>
    <t>Total # of Elements_TRX</t>
  </si>
  <si>
    <t>Freq_Oscillator (GHz)</t>
  </si>
  <si>
    <t>Publication Time_Oscillator</t>
  </si>
  <si>
    <t>Total # of Elements_Oscillator</t>
  </si>
  <si>
    <t>Freq_Relay (GHz)</t>
  </si>
  <si>
    <t>Publication Time_Relay</t>
  </si>
  <si>
    <t>Total # of Elements_Relay</t>
  </si>
  <si>
    <t>Total # of Elements_TX &lt; 20GHz</t>
  </si>
  <si>
    <t>Total # of Elements_TX 20-50GHz</t>
  </si>
  <si>
    <t>Total # of Elements_TX 50-75GHz</t>
  </si>
  <si>
    <t>Total # of Elements_TX 75-110GHz</t>
  </si>
  <si>
    <t>Total # of Elements_TX 110-170GHz</t>
  </si>
  <si>
    <t>Total # of Elements_TX 170-260GHz</t>
  </si>
  <si>
    <t>Total # of Elements_TX &gt;260GHz</t>
  </si>
  <si>
    <t>Total # of Elements_RX &lt; 20GHz</t>
  </si>
  <si>
    <t>Total # of Elements_RX 20-50GHz</t>
  </si>
  <si>
    <t>Total # of Elements_RX 50-75GHz</t>
  </si>
  <si>
    <t>Total # of Elements_RX 75-110GHz</t>
  </si>
  <si>
    <t>Total # of Elements_RX 110-170GHz</t>
  </si>
  <si>
    <t>Total # of Elements_RX 170-260GHz</t>
  </si>
  <si>
    <t>Total # of Elements_RX &gt;260GHz</t>
  </si>
  <si>
    <t>Total # of Elements_TRX &lt; 20GHz</t>
  </si>
  <si>
    <t>Total # of Elements_TRX 20-50GHz</t>
  </si>
  <si>
    <t>Total # of Elements_TRX 50-75GHz</t>
  </si>
  <si>
    <t>Total # of Elements_TRX 75-110GHz</t>
  </si>
  <si>
    <t>Total # of Elements_TRX 110-170GHz</t>
  </si>
  <si>
    <t>Total # of Elements_TRX 170-260GHz</t>
  </si>
  <si>
    <t>Total # of Elements_TRX &gt;260GHz</t>
  </si>
  <si>
    <t>Total # of Elements_Oscillator &lt; 20GHz</t>
  </si>
  <si>
    <t>Total # of Elements_Oscillator 20-50GHz</t>
  </si>
  <si>
    <t>Total # of Elements_Oscillator 50-75GHz</t>
  </si>
  <si>
    <t>Total # of Elements_Oscillator 75-110GHz</t>
  </si>
  <si>
    <t>Total # of Elements_Oscillator 110-170GHz</t>
  </si>
  <si>
    <t>Total # of Elements_Oscillator 170-260GHz</t>
  </si>
  <si>
    <t>Total # of Elements_Oscillator &gt;260GHz</t>
  </si>
  <si>
    <t>Total # of Elements_Relay &lt; 20GHz</t>
  </si>
  <si>
    <t>Total # of Elements_Relay 20-50GHz</t>
  </si>
  <si>
    <t>Total # of Elements_Relay 50-75GHz</t>
  </si>
  <si>
    <t>Total # of Elements_Relay 75-110GHz</t>
  </si>
  <si>
    <t>Total # of Elements_Relay 110-170GHz</t>
  </si>
  <si>
    <t>Total # of Elements_Relay 170-260GHz</t>
  </si>
  <si>
    <t>Total # of Elements_Relay &gt;260GHz</t>
  </si>
  <si>
    <t>&lt;20GHz</t>
  </si>
  <si>
    <t>Prad/Pdc by freq</t>
  </si>
  <si>
    <t>20-50GHz</t>
  </si>
  <si>
    <t>50-75GHz</t>
  </si>
  <si>
    <t>75-110GHz</t>
  </si>
  <si>
    <t>110-170GHz</t>
  </si>
  <si>
    <t>170-260GHz</t>
  </si>
  <si>
    <t>&gt;260GHz</t>
  </si>
  <si>
    <t>PackageThermalDensity by freq</t>
  </si>
  <si>
    <t>EIRP/Pdc by freq</t>
  </si>
  <si>
    <t>ChipThermalDensity by freq</t>
  </si>
  <si>
    <t>EIRP/Pdc (%)</t>
  </si>
  <si>
    <t># of TX Elements</t>
  </si>
  <si>
    <t>All</t>
  </si>
  <si>
    <t>1. Objective and Introduction:</t>
  </si>
  <si>
    <r>
      <t xml:space="preserve">   6.6 Note on the "# of Array Tile" metric. </t>
    </r>
    <r>
      <rPr>
        <sz val="10"/>
        <rFont val="Arial"/>
        <family val="2"/>
      </rPr>
      <t>For single chip design without integration with package and/or antennas to form a tilable design, this number will always be one.</t>
    </r>
  </si>
  <si>
    <r>
      <t xml:space="preserve">   6.8 Note on the "TX Conversion Gain (dB)" metric. </t>
    </r>
    <r>
      <rPr>
        <sz val="10"/>
        <rFont val="Arial"/>
        <family val="2"/>
      </rPr>
      <t>When the reported design is a passive reflectarray, this metric refers to the antenna gain in units of dBi. It is also mentioned in the "Notes" section</t>
    </r>
    <r>
      <rPr>
        <b/>
        <sz val="10"/>
        <rFont val="Arial"/>
        <family val="2"/>
      </rPr>
      <t>.</t>
    </r>
  </si>
  <si>
    <t xml:space="preserve">20230620: This is the second public release (Version 2.0) that includes reported phased arrays from 10GHz to 700 GHz implemented in commercially available technologies including bulk CMOS, CMOS SOI, and SiGe/SiGe BiCMOS technologies. The dataset contains total 120 data points. Only array designs reported in peer-reviewed publications are included. </t>
  </si>
  <si>
    <t>What is new in this version-2.0 release?</t>
  </si>
  <si>
    <t>(1) The array designs have been categorized based on their frontend element functionalities, i.e., TX, RX, TRX co-aperatured, single- or dual-polarization.</t>
  </si>
  <si>
    <t>(2) Additional array performance has been added if it is reported.</t>
  </si>
  <si>
    <t>What is new in this version-3.0 release?</t>
  </si>
  <si>
    <t>A 0.28 THz Power-Generation and Beam-Steering Array in CMOS Based on Distributed Active Radiators</t>
  </si>
  <si>
    <t>Sengupta</t>
  </si>
  <si>
    <t>Active Tunable Millimeter-wave Reflective Surface across 57-64 GHz for Blockage Mitigation and Physical Layer Security</t>
  </si>
  <si>
    <t>Venkatesh</t>
  </si>
  <si>
    <t>3x2 Array with middle two antennas co-apertured</t>
  </si>
  <si>
    <t>A high-speed programmable and scalable terahertz holographic metasurface based on tiled CMOS chips</t>
  </si>
  <si>
    <t>Nature Electronics</t>
  </si>
  <si>
    <t>Passive metasurface</t>
  </si>
  <si>
    <t>Ultra Broadband Phased-Array Transmitter with Low Phase Error of 1.24-2.8° across 36-91 GHz Supporting 10.8 Gbps 64QAM in 90 nm SiGe</t>
  </si>
  <si>
    <t>ESSCIRC</t>
  </si>
  <si>
    <t xml:space="preserve">This document collects the published silicon phased arrays from 2010 to present, focusing on arrays carrier frequencies from 10GHz to 700 GHz implemented in commercially available technologies including bulk CMOS, CMOS SOI, FinFET, SiGe/SiGe BiCMOS. As phased arrays are becoming an essential technology for future wireless communication and sensing systems, the purpose of this document is to help the scientific community identify the technology trends, scaling, performance advance, and performance limits in phased arrays over carrier frequency, functionalities, complexity, and device technologies. </t>
  </si>
  <si>
    <r>
      <t xml:space="preserve">   6.1 Note on the "Chip Area/Element" metric. </t>
    </r>
    <r>
      <rPr>
        <sz val="10"/>
        <rFont val="Arial"/>
        <family val="2"/>
      </rPr>
      <t xml:space="preserve">The Chip Area is defined as the core area of the phased array chip. Unless it is explicitly reported in the paper, it is estimated as a rectangular chip area based on the chip microphotograph. The rectangular core chip area includes all the active/passive parts of the RF signal path and LO path. The supply/biasing/ground feeds, pads, and bypass networks are excluded. Therefore, "Chip Area/Element" is a metric to measure the required chip real estate and the compactness for array implementations. For a 2D scalable array with beam steering capability, the "Chip Area/Element" typically should be below λ/2×λ/2 with λ as the wavelength at the carrier frequency in air. This size requirement can be relaxed to some extend for arrays with limited scanning angle. Our survey shows that "Chip Area/Element" can meet the λ/2×λ/2 array grid requirement for low-medium mm-Wave frequences (10GHz up-to 100GHz). However, the array frontend electronics sizes do not scale with the carrier frequency. As a result, the achievable "Chip Area/Element" will approximately equal the λ/2×λ/2 array grid at around 100GHz and exceed this limit for higher frequency. This shows a major challenge in array carrier frequency scaling: </t>
    </r>
    <r>
      <rPr>
        <b/>
        <sz val="10"/>
        <rFont val="Arial"/>
        <family val="2"/>
      </rPr>
      <t>The array frontend electronics size cannot scale down as fast as the shrinking array grid (λ/2×λ/2) over frequency.</t>
    </r>
  </si>
  <si>
    <r>
      <t xml:space="preserve">   6.2 Note on the "Type" metric. </t>
    </r>
    <r>
      <rPr>
        <sz val="10"/>
        <rFont val="Arial"/>
        <family val="2"/>
      </rPr>
      <t>TX/RX/TRX refers to traditional communication/sensing systems that require baseband/IF. Oscillator arrays though generating power as TX are classified as "Oscillator". All the reflectarrays and reconfigurable intelligent surfaces are categorized as "Relay". Active reflectarrays that contain TRX components but are specific for relaying purpose are also classified under the "Relay" category</t>
    </r>
    <r>
      <rPr>
        <b/>
        <sz val="10"/>
        <rFont val="Arial"/>
        <family val="2"/>
      </rPr>
      <t xml:space="preserve">. </t>
    </r>
    <r>
      <rPr>
        <sz val="10"/>
        <rFont val="Arial"/>
        <family val="2"/>
      </rPr>
      <t>"FE" (frontend) designation are appended to TX/RX/TRX systems, if the frequency conversion function is not integrated in the system design, i.e, a separate up-/down-conversion chip is needed.</t>
    </r>
  </si>
  <si>
    <r>
      <t xml:space="preserve">   6.3 Note on the "Antenna on (None, Chip, AiP, PCB)" metric. </t>
    </r>
    <r>
      <rPr>
        <sz val="10"/>
        <rFont val="Arial"/>
        <family val="2"/>
      </rPr>
      <t>This survey tries to distinguish between antennas built on traditional PCB platforms versus more advanced packaging substrates such as LTCC or quartz (glass). Therefore, "AiP"in this survey refers to specific packaging substrate although AiPs can be implemented with PCB technology.</t>
    </r>
  </si>
  <si>
    <r>
      <t xml:space="preserve">   6.4 Note on DC power metrics. </t>
    </r>
    <r>
      <rPr>
        <sz val="10"/>
        <rFont val="Arial"/>
        <family val="2"/>
      </rPr>
      <t>When the power consumptions of the TX &amp; RX blocks are reported together, the DC power is placed under the "TX Pdc" column while making "RX Pdc" entry zero. This applies to radar systems.</t>
    </r>
  </si>
  <si>
    <r>
      <t xml:space="preserve">   6.5 Note on the thermal density metrics. </t>
    </r>
    <r>
      <rPr>
        <sz val="10"/>
        <rFont val="Arial"/>
        <family val="2"/>
      </rPr>
      <t>On the package-level calculation, the array aperture size is used instead of the actual package size, which results in differences to some extent. For a TRX system, the higher DC power number in TX or RX mode will be used for calculation</t>
    </r>
    <r>
      <rPr>
        <b/>
        <sz val="10"/>
        <rFont val="Arial"/>
        <family val="2"/>
      </rPr>
      <t>.</t>
    </r>
  </si>
  <si>
    <r>
      <t xml:space="preserve">   6.7 Note on the "TX RX Co-Aperture" metric. </t>
    </r>
    <r>
      <rPr>
        <sz val="10"/>
        <rFont val="Arial"/>
        <family val="2"/>
      </rPr>
      <t>For TRX designs with antennas, this entry simply indicates whether the TX and RX elements in the same array pixel are connected to the same antenna. Thus for a system with TX and RX in separate chips but share the same antenna, the entry will be "Yes". However, for TRX designs without antennas, being co-aperature or not is determined from the circuit archtecture on-chip where the TX and RX share the same RF interface</t>
    </r>
    <r>
      <rPr>
        <b/>
        <sz val="10"/>
        <rFont val="Arial"/>
        <family val="2"/>
      </rPr>
      <t xml:space="preserve"> </t>
    </r>
    <r>
      <rPr>
        <sz val="10"/>
        <rFont val="Arial"/>
        <family val="2"/>
      </rPr>
      <t>or not.</t>
    </r>
  </si>
  <si>
    <r>
      <t xml:space="preserve">   6.9 Note on the "DC-to-RF Efficiency vs # of Elements" plot. </t>
    </r>
    <r>
      <rPr>
        <sz val="10"/>
        <rFont val="Arial"/>
        <family val="2"/>
      </rPr>
      <t>For Pout/Pdc calculation, the number of elements refer to the total number of TX elements in the system. For EIRP/Pdc calculation, the number of elements refer to the number of active antenna elements which the EIRP measurement is made with.</t>
    </r>
  </si>
  <si>
    <t>(3) EIRP measurement results have been added.</t>
  </si>
  <si>
    <t>(4) DC Power consumptions have been added.</t>
  </si>
  <si>
    <t>(5) More plots summarizing various performance aspects, limits and technology trends.</t>
  </si>
  <si>
    <t>(2) New design information on the antenna array architecture such as aperture size, substrate material and number of elements.</t>
  </si>
  <si>
    <t>(1) Phase array module implemented using multiple phase array ICs.</t>
  </si>
  <si>
    <t>2024.01.17. This is the third public release (Version 3.0) that covers (phased) arrays from 10 GHz to 700 GHz in commercially available IC technologies. This Version 3.0 survey includes array designs built on PCBs/AiPs with multiple RFICs (such as large-scaled SATCOM arrays or 5G arrays), passive/active reflect arrays, and relay arrays. The dataset contains total 147 data points. Details on the array architecture on-chip as well as on-module with integration of IC and antennas are included. TX EIRP results, power consumptions, and array thermal density are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</si>
</sst>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name val="Arial"/>
      <family val="2"/>
    </font>
    <font>
      <b/>
      <sz val="10"/>
      <name val="Arial"/>
      <family val="2"/>
    </font>
    <font>
      <b/>
      <i/>
      <sz val="10"/>
      <color rgb="FF333F4F"/>
      <name val="Arial"/>
      <family val="2"/>
    </font>
    <font>
      <sz val="8"/>
      <name val="Calibri"/>
      <family val="2"/>
      <scheme val="minor"/>
    </font>
    <font>
      <u/>
      <sz val="11"/>
      <color theme="10"/>
      <name val="Calibri"/>
      <family val="2"/>
      <scheme val="minor"/>
    </font>
    <font>
      <sz val="10"/>
      <color theme="1"/>
      <name val="Arial"/>
      <family val="2"/>
    </font>
  </fonts>
  <fills count="9">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DDEBF7"/>
        <bgColor rgb="FF000000"/>
      </patternFill>
    </fill>
    <fill>
      <patternFill patternType="solid">
        <fgColor rgb="FFFFFFFF"/>
        <bgColor rgb="FF000000"/>
      </patternFill>
    </fill>
    <fill>
      <patternFill patternType="solid">
        <fgColor theme="7" tint="0.39997558519241921"/>
        <bgColor indexed="64"/>
      </patternFill>
    </fill>
    <fill>
      <patternFill patternType="solid">
        <fgColor rgb="FFFF66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6" fillId="0" borderId="0" applyNumberFormat="0" applyFill="0" applyBorder="0" applyAlignment="0" applyProtection="0"/>
  </cellStyleXfs>
  <cellXfs count="34">
    <xf numFmtId="0" fontId="0" fillId="0" borderId="0" xfId="0"/>
    <xf numFmtId="0" fontId="0" fillId="0" borderId="0" xfId="0" applyAlignment="1">
      <alignment horizontal="center" vertical="center"/>
    </xf>
    <xf numFmtId="0" fontId="0" fillId="4" borderId="0" xfId="0" applyFill="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2" fillId="0" borderId="0" xfId="1"/>
    <xf numFmtId="0" fontId="2" fillId="0" borderId="0" xfId="1" applyAlignment="1" applyProtection="1">
      <alignment horizontal="left" vertical="center" wrapText="1"/>
      <protection locked="0"/>
    </xf>
    <xf numFmtId="0" fontId="2" fillId="0" borderId="0" xfId="1" applyAlignment="1" applyProtection="1">
      <alignment wrapText="1"/>
      <protection locked="0"/>
    </xf>
    <xf numFmtId="0" fontId="2" fillId="0" borderId="0" xfId="1" applyAlignment="1" applyProtection="1">
      <alignment vertical="center" wrapText="1"/>
      <protection locked="0"/>
    </xf>
    <xf numFmtId="0" fontId="2" fillId="0" borderId="0" xfId="1" applyAlignment="1">
      <alignment wrapText="1"/>
    </xf>
    <xf numFmtId="0" fontId="3" fillId="0" borderId="0" xfId="1" applyFont="1" applyAlignment="1" applyProtection="1">
      <alignment horizontal="left" vertical="center" wrapText="1"/>
      <protection locked="0"/>
    </xf>
    <xf numFmtId="0" fontId="3" fillId="0" borderId="0" xfId="1" applyFont="1"/>
    <xf numFmtId="0" fontId="2" fillId="0" borderId="0" xfId="1" applyAlignment="1">
      <alignment vertical="center"/>
    </xf>
    <xf numFmtId="0" fontId="3" fillId="5" borderId="0" xfId="1" applyFont="1" applyFill="1" applyAlignment="1">
      <alignment horizontal="center" vertical="center"/>
    </xf>
    <xf numFmtId="0" fontId="3" fillId="5" borderId="0" xfId="1" applyFont="1" applyFill="1" applyAlignment="1">
      <alignment horizontal="center" vertical="center" wrapText="1"/>
    </xf>
    <xf numFmtId="0" fontId="3" fillId="5" borderId="0" xfId="1" applyFont="1" applyFill="1" applyAlignment="1">
      <alignment horizontal="center"/>
    </xf>
    <xf numFmtId="0" fontId="4" fillId="0" borderId="1" xfId="1" applyFont="1" applyBorder="1" applyAlignment="1" applyProtection="1">
      <alignment vertical="center" wrapText="1"/>
      <protection locked="0"/>
    </xf>
    <xf numFmtId="0" fontId="4" fillId="6" borderId="1" xfId="1" applyFont="1" applyFill="1" applyBorder="1" applyAlignment="1" applyProtection="1">
      <alignment vertical="center" wrapText="1"/>
      <protection locked="0"/>
    </xf>
    <xf numFmtId="0" fontId="4" fillId="0" borderId="1" xfId="1" applyFont="1" applyBorder="1" applyAlignment="1" applyProtection="1">
      <alignment wrapText="1"/>
      <protection locked="0"/>
    </xf>
    <xf numFmtId="0" fontId="4" fillId="0" borderId="1" xfId="1" applyFont="1" applyBorder="1"/>
    <xf numFmtId="0" fontId="4" fillId="0" borderId="1" xfId="1" applyFont="1" applyBorder="1" applyAlignment="1">
      <alignment wrapText="1"/>
    </xf>
    <xf numFmtId="0" fontId="1" fillId="7" borderId="0" xfId="0" applyFont="1" applyFill="1" applyAlignment="1">
      <alignment horizontal="center" vertical="center"/>
    </xf>
    <xf numFmtId="0" fontId="0" fillId="7" borderId="0" xfId="0" applyFill="1" applyAlignment="1">
      <alignment horizontal="center" vertical="center"/>
    </xf>
    <xf numFmtId="0" fontId="0" fillId="7" borderId="0" xfId="0" applyFill="1"/>
    <xf numFmtId="2" fontId="0" fillId="0" borderId="0" xfId="0" applyNumberFormat="1" applyAlignment="1">
      <alignment horizontal="center" vertical="center"/>
    </xf>
    <xf numFmtId="2" fontId="1" fillId="3" borderId="0" xfId="0" applyNumberFormat="1" applyFont="1" applyFill="1" applyAlignment="1">
      <alignment horizontal="center" vertical="center"/>
    </xf>
    <xf numFmtId="2" fontId="0" fillId="0" borderId="0" xfId="0" applyNumberFormat="1"/>
    <xf numFmtId="0" fontId="1" fillId="8" borderId="0" xfId="0" applyFont="1" applyFill="1" applyAlignment="1">
      <alignment horizontal="center" vertical="center"/>
    </xf>
    <xf numFmtId="0" fontId="6" fillId="0" borderId="0" xfId="2" applyAlignment="1">
      <alignment horizontal="center" vertical="center"/>
    </xf>
    <xf numFmtId="14" fontId="0" fillId="0" borderId="0" xfId="0" applyNumberFormat="1" applyAlignment="1">
      <alignment horizontal="center" vertical="center"/>
    </xf>
    <xf numFmtId="0" fontId="3" fillId="0" borderId="0" xfId="1" applyFont="1" applyAlignment="1">
      <alignment wrapText="1"/>
    </xf>
    <xf numFmtId="0" fontId="7" fillId="0" borderId="0" xfId="0" applyFont="1"/>
    <xf numFmtId="0" fontId="7" fillId="0" borderId="0" xfId="0" applyFont="1" applyAlignment="1">
      <alignment vertical="top" wrapText="1"/>
    </xf>
  </cellXfs>
  <cellStyles count="3">
    <cellStyle name="Hyperlink" xfId="2" builtinId="8"/>
    <cellStyle name="Normal" xfId="0" builtinId="0"/>
    <cellStyle name="Normal 2" xfId="1" xr:uid="{0D69A82A-5AAA-4BC1-8CDD-D8D77FB9A3DE}"/>
  </cellStyles>
  <dxfs count="52">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fill>
        <patternFill patternType="solid">
          <fgColor indexed="64"/>
          <bgColor theme="5" tint="0.39997558519241921"/>
        </patternFill>
      </fill>
      <alignment horizontal="center" vertical="center" textRotation="0" wrapText="0" indent="0" justifyLastLine="0" shrinkToFit="0" readingOrder="0"/>
    </dxf>
    <dxf>
      <font>
        <strike val="0"/>
        <outline val="0"/>
        <shadow val="0"/>
        <u val="none"/>
        <vertAlign val="baseline"/>
        <sz val="11"/>
        <color theme="1"/>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fgColor indexed="64"/>
          <bgColor theme="7" tint="0.3999755851924192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b/>
        <strike val="0"/>
        <outline val="0"/>
        <shadow val="0"/>
        <u val="none"/>
        <vertAlign val="baseline"/>
        <sz val="11"/>
        <color theme="1"/>
        <name val="Calibri"/>
        <family val="2"/>
        <scheme val="minor"/>
      </font>
      <alignment horizontal="center" vertical="center" textRotation="0" wrapText="0" indent="0" justifyLastLine="0" shrinkToFit="0" readingOrder="0"/>
    </dxf>
  </dxfs>
  <tableStyles count="0" defaultTableStyle="TableStyleMedium2" defaultPivotStyle="PivotStyleLight16"/>
  <colors>
    <mruColors>
      <color rgb="FFFF66CC"/>
      <color rgb="FFFF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Chip Element Area - All Entries</a:t>
            </a:r>
          </a:p>
        </c:rich>
      </c:tx>
      <c:overlay val="0"/>
      <c:spPr>
        <a:noFill/>
        <a:ln>
          <a:noFill/>
        </a:ln>
        <a:effectLst/>
      </c:spPr>
    </c:title>
    <c:autoTitleDeleted val="0"/>
    <c:plotArea>
      <c:layout/>
      <c:scatterChart>
        <c:scatterStyle val="lineMarker"/>
        <c:varyColors val="0"/>
        <c:ser>
          <c:idx val="0"/>
          <c:order val="0"/>
          <c:tx>
            <c:v>All Data</c:v>
          </c:tx>
          <c:spPr>
            <a:ln w="25400">
              <a:noFill/>
            </a:ln>
          </c:spPr>
          <c:marker>
            <c:symbol val="circle"/>
            <c:size val="7"/>
            <c:spPr>
              <a:solidFill>
                <a:srgbClr val="FF0000"/>
              </a:solidFill>
              <a:ln w="12700">
                <a:solidFill>
                  <a:schemeClr val="tx1"/>
                </a:solidFill>
              </a:ln>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Plot_Data_Element_Size!$C$2:$C$147</c:f>
              <c:numCache>
                <c:formatCode>General</c:formatCode>
                <c:ptCount val="146"/>
                <c:pt idx="0">
                  <c:v>1.7369585487282073</c:v>
                </c:pt>
                <c:pt idx="1">
                  <c:v>1.6722805453099736</c:v>
                </c:pt>
                <c:pt idx="2">
                  <c:v>1.5714626944347103</c:v>
                </c:pt>
                <c:pt idx="3">
                  <c:v>1.4866068747318506</c:v>
                </c:pt>
                <c:pt idx="4">
                  <c:v>2.0128214029068747</c:v>
                </c:pt>
                <c:pt idx="5">
                  <c:v>#N/A</c:v>
                </c:pt>
                <c:pt idx="6">
                  <c:v>#N/A</c:v>
                </c:pt>
                <c:pt idx="7">
                  <c:v>#N/A</c:v>
                </c:pt>
                <c:pt idx="8">
                  <c:v>0.78262379212492639</c:v>
                </c:pt>
                <c:pt idx="9">
                  <c:v>1.5683869101723591</c:v>
                </c:pt>
                <c:pt idx="10">
                  <c:v>1.4695917800532228</c:v>
                </c:pt>
                <c:pt idx="11">
                  <c:v>#N/A</c:v>
                </c:pt>
                <c:pt idx="12">
                  <c:v>0.59245252974394502</c:v>
                </c:pt>
                <c:pt idx="13">
                  <c:v>0.93570828787608806</c:v>
                </c:pt>
                <c:pt idx="14">
                  <c:v>1.4633181472256811</c:v>
                </c:pt>
                <c:pt idx="15">
                  <c:v>1.4633181472256811</c:v>
                </c:pt>
                <c:pt idx="16">
                  <c:v>#N/A</c:v>
                </c:pt>
                <c:pt idx="17">
                  <c:v>1.4747881203752624</c:v>
                </c:pt>
                <c:pt idx="18">
                  <c:v>3.5355339059327378</c:v>
                </c:pt>
                <c:pt idx="19">
                  <c:v>3.5355339059327378</c:v>
                </c:pt>
                <c:pt idx="20">
                  <c:v>3.0960478839966288</c:v>
                </c:pt>
                <c:pt idx="21">
                  <c:v>1.4535473848485299</c:v>
                </c:pt>
                <c:pt idx="22">
                  <c:v>0.78930349042684467</c:v>
                </c:pt>
                <c:pt idx="23">
                  <c:v>0.64156059729381754</c:v>
                </c:pt>
                <c:pt idx="24">
                  <c:v>2.0892103771520953</c:v>
                </c:pt>
                <c:pt idx="25">
                  <c:v>2.0892103771520953</c:v>
                </c:pt>
                <c:pt idx="26">
                  <c:v>2.0734753434752968</c:v>
                </c:pt>
                <c:pt idx="27">
                  <c:v>2.0734753434752968</c:v>
                </c:pt>
                <c:pt idx="28">
                  <c:v>1.5091719583930785</c:v>
                </c:pt>
                <c:pt idx="29">
                  <c:v>1.1138110252641604</c:v>
                </c:pt>
                <c:pt idx="30">
                  <c:v>1.6309506430300089</c:v>
                </c:pt>
                <c:pt idx="31">
                  <c:v>1.6309506430300089</c:v>
                </c:pt>
                <c:pt idx="32">
                  <c:v>#N/A</c:v>
                </c:pt>
                <c:pt idx="33">
                  <c:v>1.527088733505686</c:v>
                </c:pt>
                <c:pt idx="34">
                  <c:v>2.1656407827707715</c:v>
                </c:pt>
                <c:pt idx="35">
                  <c:v>2.1656407827707715</c:v>
                </c:pt>
                <c:pt idx="36">
                  <c:v>#N/A</c:v>
                </c:pt>
                <c:pt idx="37">
                  <c:v>2.499919998719959</c:v>
                </c:pt>
                <c:pt idx="38">
                  <c:v>3.207366520995067</c:v>
                </c:pt>
                <c:pt idx="39">
                  <c:v>3.207366520995067</c:v>
                </c:pt>
                <c:pt idx="40">
                  <c:v>1.1224972160321824</c:v>
                </c:pt>
                <c:pt idx="41">
                  <c:v>3.03315017762062</c:v>
                </c:pt>
                <c:pt idx="42">
                  <c:v>1.2409673645990857</c:v>
                </c:pt>
                <c:pt idx="43">
                  <c:v>1.2409673645990857</c:v>
                </c:pt>
                <c:pt idx="44">
                  <c:v>1.5779020882171364</c:v>
                </c:pt>
                <c:pt idx="45">
                  <c:v>#N/A</c:v>
                </c:pt>
                <c:pt idx="46">
                  <c:v>0.53429275682906274</c:v>
                </c:pt>
                <c:pt idx="47">
                  <c:v>0.19436506316151</c:v>
                </c:pt>
                <c:pt idx="48">
                  <c:v>0.51441714590398324</c:v>
                </c:pt>
                <c:pt idx="49">
                  <c:v>1.4943225890014513</c:v>
                </c:pt>
                <c:pt idx="50">
                  <c:v>0.28284271247461906</c:v>
                </c:pt>
                <c:pt idx="51">
                  <c:v>1.6877499814842245</c:v>
                </c:pt>
                <c:pt idx="52">
                  <c:v>2.9827839345148686</c:v>
                </c:pt>
                <c:pt idx="53">
                  <c:v>2.9827839345148686</c:v>
                </c:pt>
                <c:pt idx="54">
                  <c:v>0.70936591403872795</c:v>
                </c:pt>
                <c:pt idx="55">
                  <c:v>0.34205262752974142</c:v>
                </c:pt>
                <c:pt idx="56">
                  <c:v>1.4198591479439078</c:v>
                </c:pt>
                <c:pt idx="57">
                  <c:v>1.4</c:v>
                </c:pt>
                <c:pt idx="58">
                  <c:v>1.567242801865748</c:v>
                </c:pt>
                <c:pt idx="59">
                  <c:v>#N/A</c:v>
                </c:pt>
                <c:pt idx="60">
                  <c:v>#N/A</c:v>
                </c:pt>
                <c:pt idx="61">
                  <c:v>1.160344776348823</c:v>
                </c:pt>
                <c:pt idx="62">
                  <c:v>1.9452506265260525</c:v>
                </c:pt>
                <c:pt idx="63">
                  <c:v>0.51497572758334931</c:v>
                </c:pt>
                <c:pt idx="64">
                  <c:v>1.8432308591166762</c:v>
                </c:pt>
                <c:pt idx="65">
                  <c:v>0.53425515573419735</c:v>
                </c:pt>
                <c:pt idx="66">
                  <c:v>0.11631852818876277</c:v>
                </c:pt>
                <c:pt idx="67">
                  <c:v>1.0068763578513502</c:v>
                </c:pt>
                <c:pt idx="68">
                  <c:v>1.0074720839804943</c:v>
                </c:pt>
                <c:pt idx="69">
                  <c:v>#N/A</c:v>
                </c:pt>
                <c:pt idx="70">
                  <c:v>#N/A</c:v>
                </c:pt>
                <c:pt idx="71">
                  <c:v>#N/A</c:v>
                </c:pt>
                <c:pt idx="72">
                  <c:v>1.6355427233796125</c:v>
                </c:pt>
                <c:pt idx="73">
                  <c:v>1.6355427233796125</c:v>
                </c:pt>
                <c:pt idx="74">
                  <c:v>#N/A</c:v>
                </c:pt>
                <c:pt idx="75">
                  <c:v>1.9614280511912743</c:v>
                </c:pt>
                <c:pt idx="76">
                  <c:v>#N/A</c:v>
                </c:pt>
                <c:pt idx="77">
                  <c:v>#N/A</c:v>
                </c:pt>
                <c:pt idx="78">
                  <c:v>0.26191601707417589</c:v>
                </c:pt>
                <c:pt idx="79">
                  <c:v>1.6248076809271921</c:v>
                </c:pt>
                <c:pt idx="80">
                  <c:v>2.1407475329893524</c:v>
                </c:pt>
                <c:pt idx="81">
                  <c:v>2.1407475329893524</c:v>
                </c:pt>
                <c:pt idx="82">
                  <c:v>2.1407475329893524</c:v>
                </c:pt>
                <c:pt idx="83">
                  <c:v>0.76892782496148493</c:v>
                </c:pt>
                <c:pt idx="84">
                  <c:v>0.54662601474865791</c:v>
                </c:pt>
                <c:pt idx="85">
                  <c:v>1.9064758062981024</c:v>
                </c:pt>
                <c:pt idx="86">
                  <c:v>1.9064758062981024</c:v>
                </c:pt>
                <c:pt idx="87">
                  <c:v>1.05</c:v>
                </c:pt>
                <c:pt idx="88">
                  <c:v>1.5840454538932902</c:v>
                </c:pt>
                <c:pt idx="89">
                  <c:v>0.94649352876815795</c:v>
                </c:pt>
                <c:pt idx="90">
                  <c:v>0.94649352876815795</c:v>
                </c:pt>
                <c:pt idx="91">
                  <c:v>0.98178409031721425</c:v>
                </c:pt>
                <c:pt idx="92">
                  <c:v>1.0786565718522276</c:v>
                </c:pt>
                <c:pt idx="93">
                  <c:v>0.34641016151377546</c:v>
                </c:pt>
                <c:pt idx="94">
                  <c:v>0.37698806347151098</c:v>
                </c:pt>
                <c:pt idx="95">
                  <c:v>1.0276186062932104</c:v>
                </c:pt>
                <c:pt idx="96">
                  <c:v>2.514756449439985</c:v>
                </c:pt>
                <c:pt idx="97">
                  <c:v>0.5714285714285714</c:v>
                </c:pt>
                <c:pt idx="98">
                  <c:v>1.49248115565993</c:v>
                </c:pt>
                <c:pt idx="99">
                  <c:v>1.49248115565993</c:v>
                </c:pt>
                <c:pt idx="100">
                  <c:v>2.1415998692566265</c:v>
                </c:pt>
                <c:pt idx="101">
                  <c:v>0.27708302004994823</c:v>
                </c:pt>
                <c:pt idx="102">
                  <c:v>#N/A</c:v>
                </c:pt>
                <c:pt idx="103">
                  <c:v>#N/A</c:v>
                </c:pt>
                <c:pt idx="104">
                  <c:v>#N/A</c:v>
                </c:pt>
                <c:pt idx="105">
                  <c:v>#N/A</c:v>
                </c:pt>
                <c:pt idx="106">
                  <c:v>0.26457513110645903</c:v>
                </c:pt>
                <c:pt idx="107">
                  <c:v>0.52855936279664939</c:v>
                </c:pt>
                <c:pt idx="108">
                  <c:v>1.1490430801323335</c:v>
                </c:pt>
                <c:pt idx="109">
                  <c:v>1.1490430801323335</c:v>
                </c:pt>
                <c:pt idx="110">
                  <c:v>1.9178112524437851</c:v>
                </c:pt>
                <c:pt idx="111">
                  <c:v>0.98931794687046892</c:v>
                </c:pt>
                <c:pt idx="112">
                  <c:v>0.96072888995803596</c:v>
                </c:pt>
                <c:pt idx="113">
                  <c:v>0.88593171294406203</c:v>
                </c:pt>
                <c:pt idx="114">
                  <c:v>1.6412495239907916</c:v>
                </c:pt>
                <c:pt idx="115">
                  <c:v>2.3118499086229622</c:v>
                </c:pt>
                <c:pt idx="116">
                  <c:v>1.944222209522358</c:v>
                </c:pt>
                <c:pt idx="117">
                  <c:v>1.944222209522358</c:v>
                </c:pt>
                <c:pt idx="118">
                  <c:v>1.944222209522358</c:v>
                </c:pt>
                <c:pt idx="119">
                  <c:v>1.944222209522358</c:v>
                </c:pt>
                <c:pt idx="120">
                  <c:v>0.92466210044534647</c:v>
                </c:pt>
                <c:pt idx="121">
                  <c:v>0.92466210044534647</c:v>
                </c:pt>
                <c:pt idx="122">
                  <c:v>1.0822545911198529</c:v>
                </c:pt>
                <c:pt idx="123">
                  <c:v>2.9300170647967221</c:v>
                </c:pt>
                <c:pt idx="124">
                  <c:v>1.8899735447883919</c:v>
                </c:pt>
                <c:pt idx="125">
                  <c:v>1.8899735447883919</c:v>
                </c:pt>
                <c:pt idx="126">
                  <c:v>2.16794833886788</c:v>
                </c:pt>
                <c:pt idx="127">
                  <c:v>2.4313576454318686</c:v>
                </c:pt>
                <c:pt idx="128">
                  <c:v>2.0591745919178392</c:v>
                </c:pt>
                <c:pt idx="129">
                  <c:v>0.76472217177220647</c:v>
                </c:pt>
                <c:pt idx="130">
                  <c:v>1.5219789748876296</c:v>
                </c:pt>
                <c:pt idx="131">
                  <c:v>0.19364916731037085</c:v>
                </c:pt>
                <c:pt idx="132">
                  <c:v>1.1907140714714006</c:v>
                </c:pt>
                <c:pt idx="133">
                  <c:v>2.075752875464707</c:v>
                </c:pt>
                <c:pt idx="134">
                  <c:v>0.27930717856868631</c:v>
                </c:pt>
                <c:pt idx="135">
                  <c:v>1.8746733048720783</c:v>
                </c:pt>
                <c:pt idx="136">
                  <c:v>0.78841613377708086</c:v>
                </c:pt>
                <c:pt idx="137">
                  <c:v>0.95367709419907953</c:v>
                </c:pt>
                <c:pt idx="138">
                  <c:v>0.84209560027350816</c:v>
                </c:pt>
                <c:pt idx="139">
                  <c:v>2.1637005338077633</c:v>
                </c:pt>
                <c:pt idx="140">
                  <c:v>0.60855018965844832</c:v>
                </c:pt>
                <c:pt idx="141">
                  <c:v>1.4615573885414148</c:v>
                </c:pt>
                <c:pt idx="142">
                  <c:v>1.8029004409561831</c:v>
                </c:pt>
                <c:pt idx="143">
                  <c:v>1.6032467059064865</c:v>
                </c:pt>
                <c:pt idx="144">
                  <c:v>1.1365277110986947</c:v>
                </c:pt>
                <c:pt idx="145">
                  <c:v>2.4700000000000002</c:v>
                </c:pt>
              </c:numCache>
            </c:numRef>
          </c:yVal>
          <c:smooth val="0"/>
          <c:extLst>
            <c:ext xmlns:c16="http://schemas.microsoft.com/office/drawing/2014/chart" uri="{C3380CC4-5D6E-409C-BE32-E72D297353CC}">
              <c16:uniqueId val="{00000001-213C-4B77-93AA-9DAFF36A1176}"/>
            </c:ext>
          </c:extLst>
        </c:ser>
        <c:ser>
          <c:idx val="1"/>
          <c:order val="1"/>
          <c:tx>
            <c:v>Wavelength/2</c:v>
          </c:tx>
          <c:spPr>
            <a:ln w="19050" cap="rnd">
              <a:solidFill>
                <a:srgbClr val="0915FF"/>
              </a:solidFill>
              <a:round/>
            </a:ln>
            <a:effectLst/>
          </c:spPr>
          <c:marker>
            <c:symbol val="none"/>
          </c:marker>
          <c:xVal>
            <c:numRef>
              <c:f>Plot_Data_Element_Size!$A$2:$A$140</c:f>
              <c:numCache>
                <c:formatCode>General</c:formatCode>
                <c:ptCount val="139"/>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numCache>
            </c:numRef>
          </c:xVal>
          <c:yVal>
            <c:numRef>
              <c:f>Plot_Data_Element_Size!$B$2:$B$147</c:f>
              <c:numCache>
                <c:formatCode>General</c:formatCode>
                <c:ptCount val="146"/>
                <c:pt idx="0">
                  <c:v>2.5</c:v>
                </c:pt>
                <c:pt idx="1">
                  <c:v>2.5</c:v>
                </c:pt>
                <c:pt idx="2">
                  <c:v>2.5</c:v>
                </c:pt>
                <c:pt idx="3">
                  <c:v>2.5</c:v>
                </c:pt>
                <c:pt idx="4">
                  <c:v>1.3636363636363638</c:v>
                </c:pt>
                <c:pt idx="5">
                  <c:v>6.1475409836065573</c:v>
                </c:pt>
                <c:pt idx="6">
                  <c:v>4.225352112676056</c:v>
                </c:pt>
                <c:pt idx="7">
                  <c:v>14.85148514851485</c:v>
                </c:pt>
                <c:pt idx="8">
                  <c:v>2.5</c:v>
                </c:pt>
                <c:pt idx="9">
                  <c:v>1.6304347826086956</c:v>
                </c:pt>
                <c:pt idx="10">
                  <c:v>1.5463917525773194</c:v>
                </c:pt>
                <c:pt idx="11">
                  <c:v>4.6875</c:v>
                </c:pt>
                <c:pt idx="12">
                  <c:v>0.4437869822485207</c:v>
                </c:pt>
                <c:pt idx="13">
                  <c:v>2.5</c:v>
                </c:pt>
                <c:pt idx="14">
                  <c:v>2.1428571428571428</c:v>
                </c:pt>
                <c:pt idx="15">
                  <c:v>1.7647058823529413</c:v>
                </c:pt>
                <c:pt idx="16">
                  <c:v>3.3333333333333335</c:v>
                </c:pt>
                <c:pt idx="17">
                  <c:v>0.38461538461538464</c:v>
                </c:pt>
                <c:pt idx="18">
                  <c:v>2.5</c:v>
                </c:pt>
                <c:pt idx="19">
                  <c:v>2.5</c:v>
                </c:pt>
                <c:pt idx="20">
                  <c:v>5.3571428571428568</c:v>
                </c:pt>
                <c:pt idx="21">
                  <c:v>0.51724137931034486</c:v>
                </c:pt>
                <c:pt idx="22">
                  <c:v>0.51724137931034486</c:v>
                </c:pt>
                <c:pt idx="23">
                  <c:v>0.46875</c:v>
                </c:pt>
                <c:pt idx="24">
                  <c:v>2.1428571428571428</c:v>
                </c:pt>
                <c:pt idx="25">
                  <c:v>1.4285714285714286</c:v>
                </c:pt>
                <c:pt idx="26">
                  <c:v>6.5217391304347823</c:v>
                </c:pt>
                <c:pt idx="27">
                  <c:v>5</c:v>
                </c:pt>
                <c:pt idx="28">
                  <c:v>5.3571428571428568</c:v>
                </c:pt>
                <c:pt idx="29">
                  <c:v>2.5</c:v>
                </c:pt>
                <c:pt idx="30">
                  <c:v>1.875</c:v>
                </c:pt>
                <c:pt idx="31">
                  <c:v>1.6666666666666667</c:v>
                </c:pt>
                <c:pt idx="32">
                  <c:v>2.5</c:v>
                </c:pt>
                <c:pt idx="33">
                  <c:v>5.3571428571428568</c:v>
                </c:pt>
                <c:pt idx="34">
                  <c:v>1.5957446808510638</c:v>
                </c:pt>
                <c:pt idx="35">
                  <c:v>1.5957446808510638</c:v>
                </c:pt>
                <c:pt idx="36">
                  <c:v>3.5714285714285712</c:v>
                </c:pt>
                <c:pt idx="37">
                  <c:v>1.0344827586206897</c:v>
                </c:pt>
                <c:pt idx="38">
                  <c:v>5.5555555555555554</c:v>
                </c:pt>
                <c:pt idx="39">
                  <c:v>3.6585365853658538</c:v>
                </c:pt>
                <c:pt idx="40">
                  <c:v>2.054794520547945</c:v>
                </c:pt>
                <c:pt idx="41">
                  <c:v>0.56458897922312556</c:v>
                </c:pt>
                <c:pt idx="42">
                  <c:v>6.1224489795918364</c:v>
                </c:pt>
                <c:pt idx="43">
                  <c:v>3.4883720930232558</c:v>
                </c:pt>
                <c:pt idx="44">
                  <c:v>3.8461538461538463</c:v>
                </c:pt>
                <c:pt idx="45">
                  <c:v>1.6666666666666667</c:v>
                </c:pt>
                <c:pt idx="46">
                  <c:v>0.35714285714285715</c:v>
                </c:pt>
                <c:pt idx="47">
                  <c:v>0.25566729163115731</c:v>
                </c:pt>
                <c:pt idx="48">
                  <c:v>0.36057692307692307</c:v>
                </c:pt>
                <c:pt idx="49">
                  <c:v>0.30612244897959184</c:v>
                </c:pt>
                <c:pt idx="50">
                  <c:v>0.22388059701492538</c:v>
                </c:pt>
                <c:pt idx="51">
                  <c:v>2</c:v>
                </c:pt>
                <c:pt idx="52">
                  <c:v>1.1111111111111112</c:v>
                </c:pt>
                <c:pt idx="53">
                  <c:v>1</c:v>
                </c:pt>
                <c:pt idx="54">
                  <c:v>0.3</c:v>
                </c:pt>
                <c:pt idx="55">
                  <c:v>0.38461538461538464</c:v>
                </c:pt>
                <c:pt idx="56">
                  <c:v>1.0714285714285714</c:v>
                </c:pt>
                <c:pt idx="57">
                  <c:v>1</c:v>
                </c:pt>
                <c:pt idx="58">
                  <c:v>5.3571428571428568</c:v>
                </c:pt>
                <c:pt idx="59">
                  <c:v>5.3571428571428568</c:v>
                </c:pt>
                <c:pt idx="60">
                  <c:v>5.0847457627118642</c:v>
                </c:pt>
                <c:pt idx="61">
                  <c:v>0.35714285714285715</c:v>
                </c:pt>
                <c:pt idx="62">
                  <c:v>0.35714285714285715</c:v>
                </c:pt>
                <c:pt idx="63">
                  <c:v>0.61224489795918369</c:v>
                </c:pt>
                <c:pt idx="64">
                  <c:v>0.5859375</c:v>
                </c:pt>
                <c:pt idx="65">
                  <c:v>0.33333333333333331</c:v>
                </c:pt>
                <c:pt idx="66">
                  <c:v>0.24793388429752067</c:v>
                </c:pt>
                <c:pt idx="67">
                  <c:v>0.3968253968253968</c:v>
                </c:pt>
                <c:pt idx="68">
                  <c:v>2.5</c:v>
                </c:pt>
                <c:pt idx="69">
                  <c:v>12.820512820512819</c:v>
                </c:pt>
                <c:pt idx="70">
                  <c:v>10.714285714285714</c:v>
                </c:pt>
                <c:pt idx="71">
                  <c:v>5.0847457627118642</c:v>
                </c:pt>
                <c:pt idx="72">
                  <c:v>7.8947368421052637</c:v>
                </c:pt>
                <c:pt idx="73">
                  <c:v>5.5555555555555554</c:v>
                </c:pt>
                <c:pt idx="74">
                  <c:v>12.820512820512819</c:v>
                </c:pt>
                <c:pt idx="75">
                  <c:v>1.0714285714285714</c:v>
                </c:pt>
                <c:pt idx="76">
                  <c:v>10.714285714285714</c:v>
                </c:pt>
                <c:pt idx="77">
                  <c:v>12.820512820512819</c:v>
                </c:pt>
                <c:pt idx="78">
                  <c:v>0.33333333333333331</c:v>
                </c:pt>
                <c:pt idx="79">
                  <c:v>5</c:v>
                </c:pt>
                <c:pt idx="80">
                  <c:v>8.3333333333333339</c:v>
                </c:pt>
                <c:pt idx="81">
                  <c:v>5</c:v>
                </c:pt>
                <c:pt idx="82">
                  <c:v>3</c:v>
                </c:pt>
                <c:pt idx="83">
                  <c:v>0.4838709677419355</c:v>
                </c:pt>
                <c:pt idx="84">
                  <c:v>5.3571428571428568</c:v>
                </c:pt>
                <c:pt idx="85">
                  <c:v>10</c:v>
                </c:pt>
                <c:pt idx="86">
                  <c:v>2.6315789473684208</c:v>
                </c:pt>
                <c:pt idx="87">
                  <c:v>5.3571428571428568</c:v>
                </c:pt>
                <c:pt idx="88">
                  <c:v>1.0714285714285714</c:v>
                </c:pt>
                <c:pt idx="89">
                  <c:v>5.3571428571428568</c:v>
                </c:pt>
                <c:pt idx="90">
                  <c:v>3.8461538461538463</c:v>
                </c:pt>
                <c:pt idx="91">
                  <c:v>5.7692307692307692</c:v>
                </c:pt>
                <c:pt idx="92">
                  <c:v>5.1724137931034484</c:v>
                </c:pt>
                <c:pt idx="93">
                  <c:v>0.5</c:v>
                </c:pt>
                <c:pt idx="94">
                  <c:v>0.34802784222737815</c:v>
                </c:pt>
                <c:pt idx="95">
                  <c:v>1.0714285714285714</c:v>
                </c:pt>
                <c:pt idx="96">
                  <c:v>1.1029411764705883</c:v>
                </c:pt>
                <c:pt idx="97">
                  <c:v>0.57692307692307698</c:v>
                </c:pt>
                <c:pt idx="98">
                  <c:v>1.0714285714285714</c:v>
                </c:pt>
                <c:pt idx="99">
                  <c:v>1.0714285714285714</c:v>
                </c:pt>
                <c:pt idx="100">
                  <c:v>5.5555555555555554</c:v>
                </c:pt>
                <c:pt idx="101">
                  <c:v>0.21613832853025935</c:v>
                </c:pt>
                <c:pt idx="102">
                  <c:v>10.526315789473683</c:v>
                </c:pt>
                <c:pt idx="103">
                  <c:v>5.3571428571428568</c:v>
                </c:pt>
                <c:pt idx="104">
                  <c:v>3.8461538461538463</c:v>
                </c:pt>
                <c:pt idx="105">
                  <c:v>5.1724137931034484</c:v>
                </c:pt>
                <c:pt idx="106">
                  <c:v>0.31779661016949151</c:v>
                </c:pt>
                <c:pt idx="107">
                  <c:v>0.36057692307692307</c:v>
                </c:pt>
                <c:pt idx="108">
                  <c:v>1.6129032258064515</c:v>
                </c:pt>
                <c:pt idx="109">
                  <c:v>1.6129032258064515</c:v>
                </c:pt>
                <c:pt idx="110">
                  <c:v>5.5555555555555554</c:v>
                </c:pt>
                <c:pt idx="111">
                  <c:v>1</c:v>
                </c:pt>
                <c:pt idx="112">
                  <c:v>1</c:v>
                </c:pt>
                <c:pt idx="113">
                  <c:v>5.3571428571428568</c:v>
                </c:pt>
                <c:pt idx="114">
                  <c:v>8.3333333333333339</c:v>
                </c:pt>
                <c:pt idx="115">
                  <c:v>5.2264808362369344</c:v>
                </c:pt>
                <c:pt idx="116">
                  <c:v>5.3571428571428568</c:v>
                </c:pt>
                <c:pt idx="117">
                  <c:v>3.8461538461538463</c:v>
                </c:pt>
                <c:pt idx="118">
                  <c:v>3.1779661016949157</c:v>
                </c:pt>
                <c:pt idx="119">
                  <c:v>2.4958402662229617</c:v>
                </c:pt>
                <c:pt idx="120">
                  <c:v>5.3571428571428568</c:v>
                </c:pt>
                <c:pt idx="121">
                  <c:v>3.75</c:v>
                </c:pt>
                <c:pt idx="122">
                  <c:v>5.3571428571428568</c:v>
                </c:pt>
                <c:pt idx="123">
                  <c:v>7.5</c:v>
                </c:pt>
                <c:pt idx="124">
                  <c:v>30</c:v>
                </c:pt>
                <c:pt idx="125">
                  <c:v>4.545454545454545</c:v>
                </c:pt>
                <c:pt idx="126">
                  <c:v>3.8461538461538463</c:v>
                </c:pt>
                <c:pt idx="127">
                  <c:v>1.0638297872340425</c:v>
                </c:pt>
                <c:pt idx="128">
                  <c:v>5.3571428571428568</c:v>
                </c:pt>
                <c:pt idx="129">
                  <c:v>1.948051948051948</c:v>
                </c:pt>
                <c:pt idx="130">
                  <c:v>0.6097560975609756</c:v>
                </c:pt>
                <c:pt idx="131">
                  <c:v>0.22222222222222224</c:v>
                </c:pt>
                <c:pt idx="132">
                  <c:v>1.0714285714285714</c:v>
                </c:pt>
                <c:pt idx="133">
                  <c:v>5.3571428571428568</c:v>
                </c:pt>
                <c:pt idx="134">
                  <c:v>0.24711696869851732</c:v>
                </c:pt>
                <c:pt idx="135">
                  <c:v>5.7121096725057123</c:v>
                </c:pt>
                <c:pt idx="136">
                  <c:v>1.6666666666666667</c:v>
                </c:pt>
                <c:pt idx="137">
                  <c:v>1.6666666666666667</c:v>
                </c:pt>
                <c:pt idx="138">
                  <c:v>0.57692307692307698</c:v>
                </c:pt>
                <c:pt idx="139">
                  <c:v>4.2857142857142856</c:v>
                </c:pt>
                <c:pt idx="140">
                  <c:v>25.862068965517242</c:v>
                </c:pt>
                <c:pt idx="141">
                  <c:v>3.8461538461538463</c:v>
                </c:pt>
                <c:pt idx="142">
                  <c:v>5.3571428571428568</c:v>
                </c:pt>
                <c:pt idx="143">
                  <c:v>5</c:v>
                </c:pt>
                <c:pt idx="144">
                  <c:v>1.0714285714285714</c:v>
                </c:pt>
                <c:pt idx="145">
                  <c:v>5.2264808362369344</c:v>
                </c:pt>
              </c:numCache>
            </c:numRef>
          </c:yVal>
          <c:smooth val="0"/>
          <c:extLst>
            <c:ext xmlns:c16="http://schemas.microsoft.com/office/drawing/2014/chart" uri="{C3380CC4-5D6E-409C-BE32-E72D297353CC}">
              <c16:uniqueId val="{00000003-213C-4B77-93AA-9DAFF36A1176}"/>
            </c:ext>
          </c:extLst>
        </c:ser>
        <c:dLbls>
          <c:showLegendKey val="0"/>
          <c:showVal val="0"/>
          <c:showCatName val="0"/>
          <c:showSerName val="0"/>
          <c:showPercent val="0"/>
          <c:showBubbleSize val="0"/>
        </c:dLbls>
        <c:axId val="422369567"/>
        <c:axId val="923243183"/>
      </c:scatterChart>
      <c:valAx>
        <c:axId val="422369567"/>
        <c:scaling>
          <c:logBase val="10"/>
          <c:orientation val="minMax"/>
          <c:min val="5"/>
        </c:scaling>
        <c:delete val="0"/>
        <c:axPos val="b"/>
        <c:majorGridlines>
          <c:spPr>
            <a:ln w="15875" cap="flat" cmpd="sng" algn="ctr">
              <a:solidFill>
                <a:schemeClr val="bg1">
                  <a:lumMod val="75000"/>
                </a:schemeClr>
              </a:solidFill>
              <a:prstDash val="sysDash"/>
              <a:round/>
            </a:ln>
            <a:effectLst/>
          </c:spPr>
        </c:majorGridlines>
        <c:minorGridlines>
          <c:spPr>
            <a:ln w="9525" cap="flat" cmpd="sng" algn="ctr">
              <a:solidFill>
                <a:schemeClr val="tx1">
                  <a:lumMod val="5000"/>
                  <a:lumOff val="95000"/>
                </a:schemeClr>
              </a:solidFill>
              <a:round/>
            </a:ln>
            <a:effectLst/>
          </c:spPr>
        </c:minorGridlines>
        <c:title>
          <c:tx>
            <c:rich>
              <a:bodyPr rot="0" vert="horz"/>
              <a:lstStyle/>
              <a:p>
                <a:pPr>
                  <a:defRPr/>
                </a:pPr>
                <a:r>
                  <a:rPr lang="en-US"/>
                  <a:t>Frequency (GHz)</a:t>
                </a:r>
              </a:p>
            </c:rich>
          </c:tx>
          <c:overlay val="0"/>
          <c:spPr>
            <a:noFill/>
            <a:ln>
              <a:noFill/>
            </a:ln>
            <a:effectLst/>
          </c:spPr>
        </c:title>
        <c:numFmt formatCode="General" sourceLinked="1"/>
        <c:majorTickMark val="none"/>
        <c:minorTickMark val="none"/>
        <c:tickLblPos val="low"/>
        <c:spPr>
          <a:noFill/>
          <a:ln w="9525" cap="flat" cmpd="sng" algn="ctr">
            <a:noFill/>
            <a:round/>
          </a:ln>
          <a:effectLst/>
        </c:spPr>
        <c:txPr>
          <a:bodyPr rot="-60000000" vert="horz"/>
          <a:lstStyle/>
          <a:p>
            <a:pPr>
              <a:defRPr/>
            </a:pPr>
            <a:endParaRPr lang="en-CH"/>
          </a:p>
        </c:txPr>
        <c:crossAx val="923243183"/>
        <c:crosses val="autoZero"/>
        <c:crossBetween val="midCat"/>
      </c:valAx>
      <c:valAx>
        <c:axId val="923243183"/>
        <c:scaling>
          <c:logBase val="10"/>
          <c:orientation val="minMax"/>
        </c:scaling>
        <c:delete val="0"/>
        <c:axPos val="l"/>
        <c:majorGridlines>
          <c:spPr>
            <a:ln w="15875" cap="flat" cmpd="sng" algn="ctr">
              <a:solidFill>
                <a:schemeClr val="bg1">
                  <a:lumMod val="75000"/>
                </a:schemeClr>
              </a:solidFill>
              <a:prstDash val="sysDash"/>
              <a:round/>
            </a:ln>
            <a:effectLst/>
          </c:spPr>
        </c:majorGridlines>
        <c:minorGridlines>
          <c:spPr>
            <a:ln w="9525" cap="flat" cmpd="sng" algn="ctr">
              <a:solidFill>
                <a:schemeClr val="tx1">
                  <a:lumMod val="5000"/>
                  <a:lumOff val="95000"/>
                </a:schemeClr>
              </a:solidFill>
              <a:round/>
            </a:ln>
            <a:effectLst/>
          </c:spPr>
        </c:minorGridlines>
        <c:title>
          <c:tx>
            <c:rich>
              <a:bodyPr rot="-5400000" vert="horz"/>
              <a:lstStyle/>
              <a:p>
                <a:pPr>
                  <a:defRPr/>
                </a:pPr>
                <a:r>
                  <a:rPr lang="el-GR"/>
                  <a:t>λ</a:t>
                </a:r>
                <a:r>
                  <a:rPr lang="en-US"/>
                  <a:t>/2 and √area (mm)</a:t>
                </a:r>
              </a:p>
            </c:rich>
          </c:tx>
          <c:overlay val="0"/>
          <c:spPr>
            <a:noFill/>
            <a:ln>
              <a:noFill/>
            </a:ln>
            <a:effectLst/>
          </c:spPr>
        </c:title>
        <c:numFmt formatCode="General" sourceLinked="1"/>
        <c:majorTickMark val="none"/>
        <c:minorTickMark val="none"/>
        <c:tickLblPos val="nextTo"/>
        <c:spPr>
          <a:noFill/>
          <a:ln w="9525" cap="flat" cmpd="sng" algn="ctr">
            <a:noFill/>
            <a:round/>
          </a:ln>
          <a:effectLst/>
        </c:spPr>
        <c:txPr>
          <a:bodyPr rot="-60000000" vert="horz"/>
          <a:lstStyle/>
          <a:p>
            <a:pPr>
              <a:defRPr/>
            </a:pPr>
            <a:endParaRPr lang="en-CH"/>
          </a:p>
        </c:txPr>
        <c:crossAx val="422369567"/>
        <c:crosses val="autoZero"/>
        <c:crossBetween val="midCat"/>
      </c:valAx>
      <c:spPr>
        <a:noFill/>
        <a:ln w="25400">
          <a:solidFill>
            <a:schemeClr val="tx1"/>
          </a:solidFill>
        </a:ln>
        <a:effectLst/>
      </c:spPr>
    </c:plotArea>
    <c:plotVisOnly val="1"/>
    <c:dispBlanksAs val="span"/>
    <c:showDLblsOverMax val="0"/>
    <c:extLst/>
  </c:chart>
  <c:spPr>
    <a:ln>
      <a:noFill/>
    </a:ln>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r>
              <a:rPr lang="en-US"/>
              <a:t>DC-to-RF</a:t>
            </a:r>
            <a:r>
              <a:rPr lang="en-US" baseline="0"/>
              <a:t> Efficiency vs. # of Elements</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endParaRPr lang="en-CH"/>
        </a:p>
      </c:txPr>
    </c:title>
    <c:autoTitleDeleted val="0"/>
    <c:plotArea>
      <c:layout>
        <c:manualLayout>
          <c:layoutTarget val="inner"/>
          <c:xMode val="edge"/>
          <c:yMode val="edge"/>
          <c:x val="0.14921300160060638"/>
          <c:y val="0.1655132371066812"/>
          <c:w val="0.52758189948478662"/>
          <c:h val="0.62126968928366488"/>
        </c:manualLayout>
      </c:layout>
      <c:scatterChart>
        <c:scatterStyle val="lineMarker"/>
        <c:varyColors val="0"/>
        <c:ser>
          <c:idx val="0"/>
          <c:order val="0"/>
          <c:tx>
            <c:v>Prad/dc &lt;20GHz</c:v>
          </c:tx>
          <c:spPr>
            <a:ln w="25400" cap="rnd">
              <a:noFill/>
              <a:round/>
            </a:ln>
            <a:effectLst/>
          </c:spPr>
          <c:marker>
            <c:symbol val="square"/>
            <c:size val="6"/>
            <c:spPr>
              <a:solidFill>
                <a:srgbClr val="FF0000">
                  <a:alpha val="50000"/>
                </a:srgbClr>
              </a:solidFill>
              <a:ln w="15875">
                <a:noFill/>
              </a:ln>
              <a:effectLst/>
            </c:spPr>
          </c:marker>
          <c:xVal>
            <c:numRef>
              <c:f>Plot_Data_Power!$B$2:$B$147</c:f>
              <c:numCache>
                <c:formatCode>General</c:formatCode>
                <c:ptCount val="146"/>
                <c:pt idx="0">
                  <c:v>16</c:v>
                </c:pt>
                <c:pt idx="1">
                  <c:v>#N/A</c:v>
                </c:pt>
                <c:pt idx="2">
                  <c:v>#N/A</c:v>
                </c:pt>
                <c:pt idx="3">
                  <c:v>#N/A</c:v>
                </c:pt>
                <c:pt idx="4">
                  <c:v>16</c:v>
                </c:pt>
                <c:pt idx="5">
                  <c:v>#N/A</c:v>
                </c:pt>
                <c:pt idx="6">
                  <c:v>#N/A</c:v>
                </c:pt>
                <c:pt idx="7">
                  <c:v>#N/A</c:v>
                </c:pt>
                <c:pt idx="8">
                  <c:v>32</c:v>
                </c:pt>
                <c:pt idx="9">
                  <c:v>64</c:v>
                </c:pt>
                <c:pt idx="10">
                  <c:v>16</c:v>
                </c:pt>
                <c:pt idx="11">
                  <c:v>#N/A</c:v>
                </c:pt>
                <c:pt idx="12">
                  <c:v>16</c:v>
                </c:pt>
                <c:pt idx="13">
                  <c:v>#N/A</c:v>
                </c:pt>
                <c:pt idx="14">
                  <c:v>#N/A</c:v>
                </c:pt>
                <c:pt idx="15">
                  <c:v>4</c:v>
                </c:pt>
                <c:pt idx="16">
                  <c:v>#N/A</c:v>
                </c:pt>
                <c:pt idx="17">
                  <c:v>8</c:v>
                </c:pt>
                <c:pt idx="18">
                  <c:v>64</c:v>
                </c:pt>
                <c:pt idx="19">
                  <c:v>256</c:v>
                </c:pt>
                <c:pt idx="20">
                  <c:v>64</c:v>
                </c:pt>
                <c:pt idx="21">
                  <c:v>1</c:v>
                </c:pt>
                <c:pt idx="22">
                  <c:v>#N/A</c:v>
                </c:pt>
                <c:pt idx="23">
                  <c:v>#N/A</c:v>
                </c:pt>
                <c:pt idx="24">
                  <c:v>#N/A</c:v>
                </c:pt>
                <c:pt idx="25">
                  <c:v>1</c:v>
                </c:pt>
                <c:pt idx="26">
                  <c:v>#N/A</c:v>
                </c:pt>
                <c:pt idx="27">
                  <c:v>#N/A</c:v>
                </c:pt>
                <c:pt idx="28">
                  <c:v>24</c:v>
                </c:pt>
                <c:pt idx="29">
                  <c:v>144</c:v>
                </c:pt>
                <c:pt idx="30">
                  <c:v>#N/A</c:v>
                </c:pt>
                <c:pt idx="31">
                  <c:v>16</c:v>
                </c:pt>
                <c:pt idx="32">
                  <c:v>#N/A</c:v>
                </c:pt>
                <c:pt idx="33">
                  <c:v>64</c:v>
                </c:pt>
                <c:pt idx="34">
                  <c:v>64</c:v>
                </c:pt>
                <c:pt idx="35">
                  <c:v>#N/A</c:v>
                </c:pt>
                <c:pt idx="36">
                  <c:v>#N/A</c:v>
                </c:pt>
                <c:pt idx="37">
                  <c:v>1</c:v>
                </c:pt>
                <c:pt idx="38">
                  <c:v>#N/A</c:v>
                </c:pt>
                <c:pt idx="39">
                  <c:v>#N/A</c:v>
                </c:pt>
                <c:pt idx="40">
                  <c:v>64</c:v>
                </c:pt>
                <c:pt idx="41">
                  <c:v>1</c:v>
                </c:pt>
                <c:pt idx="42">
                  <c:v>#N/A</c:v>
                </c:pt>
                <c:pt idx="43">
                  <c:v>#N/A</c:v>
                </c:pt>
                <c:pt idx="44">
                  <c:v>64</c:v>
                </c:pt>
                <c:pt idx="45">
                  <c:v>256</c:v>
                </c:pt>
                <c:pt idx="46">
                  <c:v>64</c:v>
                </c:pt>
                <c:pt idx="47">
                  <c:v>36</c:v>
                </c:pt>
                <c:pt idx="48">
                  <c:v>16</c:v>
                </c:pt>
                <c:pt idx="49">
                  <c:v>#N/A</c:v>
                </c:pt>
                <c:pt idx="50">
                  <c:v>8</c:v>
                </c:pt>
                <c:pt idx="51">
                  <c:v>16</c:v>
                </c:pt>
                <c:pt idx="52">
                  <c:v>1</c:v>
                </c:pt>
                <c:pt idx="53">
                  <c:v>1</c:v>
                </c:pt>
                <c:pt idx="54">
                  <c:v>#N/A</c:v>
                </c:pt>
                <c:pt idx="55">
                  <c:v>1</c:v>
                </c:pt>
                <c:pt idx="56">
                  <c:v>128</c:v>
                </c:pt>
                <c:pt idx="57">
                  <c:v>#N/A</c:v>
                </c:pt>
                <c:pt idx="58">
                  <c:v>64</c:v>
                </c:pt>
                <c:pt idx="59">
                  <c:v>64</c:v>
                </c:pt>
                <c:pt idx="60">
                  <c:v>64</c:v>
                </c:pt>
                <c:pt idx="61">
                  <c:v>1</c:v>
                </c:pt>
                <c:pt idx="62">
                  <c:v>#N/A</c:v>
                </c:pt>
                <c:pt idx="63">
                  <c:v>#N/A</c:v>
                </c:pt>
                <c:pt idx="64">
                  <c:v>#N/A</c:v>
                </c:pt>
                <c:pt idx="65">
                  <c:v>#N/A</c:v>
                </c:pt>
                <c:pt idx="66">
                  <c:v>#N/A</c:v>
                </c:pt>
                <c:pt idx="67">
                  <c:v>2</c:v>
                </c:pt>
                <c:pt idx="68">
                  <c:v>1</c:v>
                </c:pt>
                <c:pt idx="69">
                  <c:v>#N/A</c:v>
                </c:pt>
                <c:pt idx="70">
                  <c:v>256</c:v>
                </c:pt>
                <c:pt idx="71">
                  <c:v>#N/A</c:v>
                </c:pt>
                <c:pt idx="72">
                  <c:v>#N/A</c:v>
                </c:pt>
                <c:pt idx="73">
                  <c:v>4</c:v>
                </c:pt>
                <c:pt idx="74">
                  <c:v>#N/A</c:v>
                </c:pt>
                <c:pt idx="75">
                  <c:v>#N/A</c:v>
                </c:pt>
                <c:pt idx="76">
                  <c:v>#N/A</c:v>
                </c:pt>
                <c:pt idx="77">
                  <c:v>#N/A</c:v>
                </c:pt>
                <c:pt idx="78">
                  <c:v>16</c:v>
                </c:pt>
                <c:pt idx="79">
                  <c:v>8</c:v>
                </c:pt>
                <c:pt idx="80">
                  <c:v>8</c:v>
                </c:pt>
                <c:pt idx="81">
                  <c:v>8</c:v>
                </c:pt>
                <c:pt idx="82">
                  <c:v>8</c:v>
                </c:pt>
                <c:pt idx="83">
                  <c:v>#N/A</c:v>
                </c:pt>
                <c:pt idx="84">
                  <c:v>#N/A</c:v>
                </c:pt>
                <c:pt idx="85">
                  <c:v>#N/A</c:v>
                </c:pt>
                <c:pt idx="86">
                  <c:v>#N/A</c:v>
                </c:pt>
                <c:pt idx="87">
                  <c:v>#N/A</c:v>
                </c:pt>
                <c:pt idx="88">
                  <c:v>1</c:v>
                </c:pt>
                <c:pt idx="89">
                  <c:v>16</c:v>
                </c:pt>
                <c:pt idx="90">
                  <c:v>16</c:v>
                </c:pt>
                <c:pt idx="91">
                  <c:v>#N/A</c:v>
                </c:pt>
                <c:pt idx="92">
                  <c:v>#N/A</c:v>
                </c:pt>
                <c:pt idx="93">
                  <c:v>#N/A</c:v>
                </c:pt>
                <c:pt idx="94">
                  <c:v>#N/A</c:v>
                </c:pt>
                <c:pt idx="95">
                  <c:v>1</c:v>
                </c:pt>
                <c:pt idx="96">
                  <c:v>8</c:v>
                </c:pt>
                <c:pt idx="97">
                  <c:v>#N/A</c:v>
                </c:pt>
                <c:pt idx="98">
                  <c:v>256</c:v>
                </c:pt>
                <c:pt idx="99">
                  <c:v>#N/A</c:v>
                </c:pt>
                <c:pt idx="100">
                  <c:v>4</c:v>
                </c:pt>
                <c:pt idx="101">
                  <c:v>16</c:v>
                </c:pt>
                <c:pt idx="102">
                  <c:v>64</c:v>
                </c:pt>
                <c:pt idx="103">
                  <c:v>32</c:v>
                </c:pt>
                <c:pt idx="104">
                  <c:v>32</c:v>
                </c:pt>
                <c:pt idx="105">
                  <c:v>16</c:v>
                </c:pt>
                <c:pt idx="106">
                  <c:v>16</c:v>
                </c:pt>
                <c:pt idx="107">
                  <c:v>16</c:v>
                </c:pt>
                <c:pt idx="108">
                  <c:v>4</c:v>
                </c:pt>
                <c:pt idx="109">
                  <c:v>#N/A</c:v>
                </c:pt>
                <c:pt idx="110">
                  <c:v>256</c:v>
                </c:pt>
                <c:pt idx="111">
                  <c:v>16</c:v>
                </c:pt>
                <c:pt idx="112">
                  <c:v>#N/A</c:v>
                </c:pt>
                <c:pt idx="113">
                  <c:v>4</c:v>
                </c:pt>
                <c:pt idx="114">
                  <c:v>#N/A</c:v>
                </c:pt>
                <c:pt idx="115">
                  <c:v>#N/A</c:v>
                </c:pt>
                <c:pt idx="116">
                  <c:v>#N/A</c:v>
                </c:pt>
                <c:pt idx="117">
                  <c:v>#N/A</c:v>
                </c:pt>
                <c:pt idx="118">
                  <c:v>#N/A</c:v>
                </c:pt>
                <c:pt idx="119">
                  <c:v>#N/A</c:v>
                </c:pt>
                <c:pt idx="120">
                  <c:v>#N/A</c:v>
                </c:pt>
                <c:pt idx="121">
                  <c:v>#N/A</c:v>
                </c:pt>
                <c:pt idx="122">
                  <c:v>64</c:v>
                </c:pt>
                <c:pt idx="123">
                  <c:v>#N/A</c:v>
                </c:pt>
                <c:pt idx="124">
                  <c:v>16</c:v>
                </c:pt>
                <c:pt idx="125">
                  <c:v>16</c:v>
                </c:pt>
                <c:pt idx="126">
                  <c:v>64</c:v>
                </c:pt>
                <c:pt idx="127">
                  <c:v>4</c:v>
                </c:pt>
                <c:pt idx="128">
                  <c:v>4</c:v>
                </c:pt>
                <c:pt idx="129">
                  <c:v>1</c:v>
                </c:pt>
                <c:pt idx="130">
                  <c:v>1</c:v>
                </c:pt>
                <c:pt idx="131">
                  <c:v>144</c:v>
                </c:pt>
                <c:pt idx="132">
                  <c:v>#N/A</c:v>
                </c:pt>
                <c:pt idx="133">
                  <c:v>#N/A</c:v>
                </c:pt>
                <c:pt idx="134">
                  <c:v>#N/A</c:v>
                </c:pt>
                <c:pt idx="135">
                  <c:v>256</c:v>
                </c:pt>
                <c:pt idx="136">
                  <c:v>1</c:v>
                </c:pt>
                <c:pt idx="137">
                  <c:v>#N/A</c:v>
                </c:pt>
                <c:pt idx="138">
                  <c:v>#N/A</c:v>
                </c:pt>
                <c:pt idx="139">
                  <c:v>4</c:v>
                </c:pt>
                <c:pt idx="140">
                  <c:v>4</c:v>
                </c:pt>
                <c:pt idx="141">
                  <c:v>16</c:v>
                </c:pt>
                <c:pt idx="142">
                  <c:v>4</c:v>
                </c:pt>
                <c:pt idx="143">
                  <c:v>#N/A</c:v>
                </c:pt>
                <c:pt idx="144">
                  <c:v>63</c:v>
                </c:pt>
                <c:pt idx="145">
                  <c:v>#N/A</c:v>
                </c:pt>
              </c:numCache>
            </c:numRef>
          </c:xVal>
          <c:yVal>
            <c:numRef>
              <c:f>Plot_Data_Power!$L$2:$L$147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5.282977308203721</c:v>
                </c:pt>
                <c:pt idx="71">
                  <c:v>#N/A</c:v>
                </c:pt>
                <c:pt idx="72">
                  <c:v>#N/A</c:v>
                </c:pt>
                <c:pt idx="73">
                  <c:v>#N/A</c:v>
                </c:pt>
                <c:pt idx="74">
                  <c:v>#N/A</c:v>
                </c:pt>
                <c:pt idx="75">
                  <c:v>#N/A</c:v>
                </c:pt>
                <c:pt idx="76">
                  <c:v>#N/A</c:v>
                </c:pt>
                <c:pt idx="77">
                  <c:v>#N/A</c:v>
                </c:pt>
                <c:pt idx="78">
                  <c:v>#N/A</c:v>
                </c:pt>
                <c:pt idx="79">
                  <c:v>#N/A</c:v>
                </c:pt>
                <c:pt idx="80">
                  <c:v>6.3395727698444562</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1.4960246057359528</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5.8855731025948144</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0-EF44-4A1B-B70A-F925C7497FAD}"/>
            </c:ext>
          </c:extLst>
        </c:ser>
        <c:ser>
          <c:idx val="1"/>
          <c:order val="1"/>
          <c:tx>
            <c:v>Prad/dc 20-50GHz</c:v>
          </c:tx>
          <c:spPr>
            <a:ln w="25400" cap="rnd">
              <a:noFill/>
              <a:round/>
            </a:ln>
            <a:effectLst/>
          </c:spPr>
          <c:marker>
            <c:symbol val="square"/>
            <c:size val="6"/>
            <c:spPr>
              <a:solidFill>
                <a:schemeClr val="accent4">
                  <a:alpha val="50000"/>
                </a:schemeClr>
              </a:solidFill>
              <a:ln w="9525">
                <a:noFill/>
              </a:ln>
              <a:effectLst/>
            </c:spPr>
          </c:marker>
          <c:xVal>
            <c:numRef>
              <c:f>Plot_Data_Power!$B$2:$B$147</c:f>
              <c:numCache>
                <c:formatCode>General</c:formatCode>
                <c:ptCount val="146"/>
                <c:pt idx="0">
                  <c:v>16</c:v>
                </c:pt>
                <c:pt idx="1">
                  <c:v>#N/A</c:v>
                </c:pt>
                <c:pt idx="2">
                  <c:v>#N/A</c:v>
                </c:pt>
                <c:pt idx="3">
                  <c:v>#N/A</c:v>
                </c:pt>
                <c:pt idx="4">
                  <c:v>16</c:v>
                </c:pt>
                <c:pt idx="5">
                  <c:v>#N/A</c:v>
                </c:pt>
                <c:pt idx="6">
                  <c:v>#N/A</c:v>
                </c:pt>
                <c:pt idx="7">
                  <c:v>#N/A</c:v>
                </c:pt>
                <c:pt idx="8">
                  <c:v>32</c:v>
                </c:pt>
                <c:pt idx="9">
                  <c:v>64</c:v>
                </c:pt>
                <c:pt idx="10">
                  <c:v>16</c:v>
                </c:pt>
                <c:pt idx="11">
                  <c:v>#N/A</c:v>
                </c:pt>
                <c:pt idx="12">
                  <c:v>16</c:v>
                </c:pt>
                <c:pt idx="13">
                  <c:v>#N/A</c:v>
                </c:pt>
                <c:pt idx="14">
                  <c:v>#N/A</c:v>
                </c:pt>
                <c:pt idx="15">
                  <c:v>4</c:v>
                </c:pt>
                <c:pt idx="16">
                  <c:v>#N/A</c:v>
                </c:pt>
                <c:pt idx="17">
                  <c:v>8</c:v>
                </c:pt>
                <c:pt idx="18">
                  <c:v>64</c:v>
                </c:pt>
                <c:pt idx="19">
                  <c:v>256</c:v>
                </c:pt>
                <c:pt idx="20">
                  <c:v>64</c:v>
                </c:pt>
                <c:pt idx="21">
                  <c:v>1</c:v>
                </c:pt>
                <c:pt idx="22">
                  <c:v>#N/A</c:v>
                </c:pt>
                <c:pt idx="23">
                  <c:v>#N/A</c:v>
                </c:pt>
                <c:pt idx="24">
                  <c:v>#N/A</c:v>
                </c:pt>
                <c:pt idx="25">
                  <c:v>1</c:v>
                </c:pt>
                <c:pt idx="26">
                  <c:v>#N/A</c:v>
                </c:pt>
                <c:pt idx="27">
                  <c:v>#N/A</c:v>
                </c:pt>
                <c:pt idx="28">
                  <c:v>24</c:v>
                </c:pt>
                <c:pt idx="29">
                  <c:v>144</c:v>
                </c:pt>
                <c:pt idx="30">
                  <c:v>#N/A</c:v>
                </c:pt>
                <c:pt idx="31">
                  <c:v>16</c:v>
                </c:pt>
                <c:pt idx="32">
                  <c:v>#N/A</c:v>
                </c:pt>
                <c:pt idx="33">
                  <c:v>64</c:v>
                </c:pt>
                <c:pt idx="34">
                  <c:v>64</c:v>
                </c:pt>
                <c:pt idx="35">
                  <c:v>#N/A</c:v>
                </c:pt>
                <c:pt idx="36">
                  <c:v>#N/A</c:v>
                </c:pt>
                <c:pt idx="37">
                  <c:v>1</c:v>
                </c:pt>
                <c:pt idx="38">
                  <c:v>#N/A</c:v>
                </c:pt>
                <c:pt idx="39">
                  <c:v>#N/A</c:v>
                </c:pt>
                <c:pt idx="40">
                  <c:v>64</c:v>
                </c:pt>
                <c:pt idx="41">
                  <c:v>1</c:v>
                </c:pt>
                <c:pt idx="42">
                  <c:v>#N/A</c:v>
                </c:pt>
                <c:pt idx="43">
                  <c:v>#N/A</c:v>
                </c:pt>
                <c:pt idx="44">
                  <c:v>64</c:v>
                </c:pt>
                <c:pt idx="45">
                  <c:v>256</c:v>
                </c:pt>
                <c:pt idx="46">
                  <c:v>64</c:v>
                </c:pt>
                <c:pt idx="47">
                  <c:v>36</c:v>
                </c:pt>
                <c:pt idx="48">
                  <c:v>16</c:v>
                </c:pt>
                <c:pt idx="49">
                  <c:v>#N/A</c:v>
                </c:pt>
                <c:pt idx="50">
                  <c:v>8</c:v>
                </c:pt>
                <c:pt idx="51">
                  <c:v>16</c:v>
                </c:pt>
                <c:pt idx="52">
                  <c:v>1</c:v>
                </c:pt>
                <c:pt idx="53">
                  <c:v>1</c:v>
                </c:pt>
                <c:pt idx="54">
                  <c:v>#N/A</c:v>
                </c:pt>
                <c:pt idx="55">
                  <c:v>1</c:v>
                </c:pt>
                <c:pt idx="56">
                  <c:v>128</c:v>
                </c:pt>
                <c:pt idx="57">
                  <c:v>#N/A</c:v>
                </c:pt>
                <c:pt idx="58">
                  <c:v>64</c:v>
                </c:pt>
                <c:pt idx="59">
                  <c:v>64</c:v>
                </c:pt>
                <c:pt idx="60">
                  <c:v>64</c:v>
                </c:pt>
                <c:pt idx="61">
                  <c:v>1</c:v>
                </c:pt>
                <c:pt idx="62">
                  <c:v>#N/A</c:v>
                </c:pt>
                <c:pt idx="63">
                  <c:v>#N/A</c:v>
                </c:pt>
                <c:pt idx="64">
                  <c:v>#N/A</c:v>
                </c:pt>
                <c:pt idx="65">
                  <c:v>#N/A</c:v>
                </c:pt>
                <c:pt idx="66">
                  <c:v>#N/A</c:v>
                </c:pt>
                <c:pt idx="67">
                  <c:v>2</c:v>
                </c:pt>
                <c:pt idx="68">
                  <c:v>1</c:v>
                </c:pt>
                <c:pt idx="69">
                  <c:v>#N/A</c:v>
                </c:pt>
                <c:pt idx="70">
                  <c:v>256</c:v>
                </c:pt>
                <c:pt idx="71">
                  <c:v>#N/A</c:v>
                </c:pt>
                <c:pt idx="72">
                  <c:v>#N/A</c:v>
                </c:pt>
                <c:pt idx="73">
                  <c:v>4</c:v>
                </c:pt>
                <c:pt idx="74">
                  <c:v>#N/A</c:v>
                </c:pt>
                <c:pt idx="75">
                  <c:v>#N/A</c:v>
                </c:pt>
                <c:pt idx="76">
                  <c:v>#N/A</c:v>
                </c:pt>
                <c:pt idx="77">
                  <c:v>#N/A</c:v>
                </c:pt>
                <c:pt idx="78">
                  <c:v>16</c:v>
                </c:pt>
                <c:pt idx="79">
                  <c:v>8</c:v>
                </c:pt>
                <c:pt idx="80">
                  <c:v>8</c:v>
                </c:pt>
                <c:pt idx="81">
                  <c:v>8</c:v>
                </c:pt>
                <c:pt idx="82">
                  <c:v>8</c:v>
                </c:pt>
                <c:pt idx="83">
                  <c:v>#N/A</c:v>
                </c:pt>
                <c:pt idx="84">
                  <c:v>#N/A</c:v>
                </c:pt>
                <c:pt idx="85">
                  <c:v>#N/A</c:v>
                </c:pt>
                <c:pt idx="86">
                  <c:v>#N/A</c:v>
                </c:pt>
                <c:pt idx="87">
                  <c:v>#N/A</c:v>
                </c:pt>
                <c:pt idx="88">
                  <c:v>1</c:v>
                </c:pt>
                <c:pt idx="89">
                  <c:v>16</c:v>
                </c:pt>
                <c:pt idx="90">
                  <c:v>16</c:v>
                </c:pt>
                <c:pt idx="91">
                  <c:v>#N/A</c:v>
                </c:pt>
                <c:pt idx="92">
                  <c:v>#N/A</c:v>
                </c:pt>
                <c:pt idx="93">
                  <c:v>#N/A</c:v>
                </c:pt>
                <c:pt idx="94">
                  <c:v>#N/A</c:v>
                </c:pt>
                <c:pt idx="95">
                  <c:v>1</c:v>
                </c:pt>
                <c:pt idx="96">
                  <c:v>8</c:v>
                </c:pt>
                <c:pt idx="97">
                  <c:v>#N/A</c:v>
                </c:pt>
                <c:pt idx="98">
                  <c:v>256</c:v>
                </c:pt>
                <c:pt idx="99">
                  <c:v>#N/A</c:v>
                </c:pt>
                <c:pt idx="100">
                  <c:v>4</c:v>
                </c:pt>
                <c:pt idx="101">
                  <c:v>16</c:v>
                </c:pt>
                <c:pt idx="102">
                  <c:v>64</c:v>
                </c:pt>
                <c:pt idx="103">
                  <c:v>32</c:v>
                </c:pt>
                <c:pt idx="104">
                  <c:v>32</c:v>
                </c:pt>
                <c:pt idx="105">
                  <c:v>16</c:v>
                </c:pt>
                <c:pt idx="106">
                  <c:v>16</c:v>
                </c:pt>
                <c:pt idx="107">
                  <c:v>16</c:v>
                </c:pt>
                <c:pt idx="108">
                  <c:v>4</c:v>
                </c:pt>
                <c:pt idx="109">
                  <c:v>#N/A</c:v>
                </c:pt>
                <c:pt idx="110">
                  <c:v>256</c:v>
                </c:pt>
                <c:pt idx="111">
                  <c:v>16</c:v>
                </c:pt>
                <c:pt idx="112">
                  <c:v>#N/A</c:v>
                </c:pt>
                <c:pt idx="113">
                  <c:v>4</c:v>
                </c:pt>
                <c:pt idx="114">
                  <c:v>#N/A</c:v>
                </c:pt>
                <c:pt idx="115">
                  <c:v>#N/A</c:v>
                </c:pt>
                <c:pt idx="116">
                  <c:v>#N/A</c:v>
                </c:pt>
                <c:pt idx="117">
                  <c:v>#N/A</c:v>
                </c:pt>
                <c:pt idx="118">
                  <c:v>#N/A</c:v>
                </c:pt>
                <c:pt idx="119">
                  <c:v>#N/A</c:v>
                </c:pt>
                <c:pt idx="120">
                  <c:v>#N/A</c:v>
                </c:pt>
                <c:pt idx="121">
                  <c:v>#N/A</c:v>
                </c:pt>
                <c:pt idx="122">
                  <c:v>64</c:v>
                </c:pt>
                <c:pt idx="123">
                  <c:v>#N/A</c:v>
                </c:pt>
                <c:pt idx="124">
                  <c:v>16</c:v>
                </c:pt>
                <c:pt idx="125">
                  <c:v>16</c:v>
                </c:pt>
                <c:pt idx="126">
                  <c:v>64</c:v>
                </c:pt>
                <c:pt idx="127">
                  <c:v>4</c:v>
                </c:pt>
                <c:pt idx="128">
                  <c:v>4</c:v>
                </c:pt>
                <c:pt idx="129">
                  <c:v>1</c:v>
                </c:pt>
                <c:pt idx="130">
                  <c:v>1</c:v>
                </c:pt>
                <c:pt idx="131">
                  <c:v>144</c:v>
                </c:pt>
                <c:pt idx="132">
                  <c:v>#N/A</c:v>
                </c:pt>
                <c:pt idx="133">
                  <c:v>#N/A</c:v>
                </c:pt>
                <c:pt idx="134">
                  <c:v>#N/A</c:v>
                </c:pt>
                <c:pt idx="135">
                  <c:v>256</c:v>
                </c:pt>
                <c:pt idx="136">
                  <c:v>1</c:v>
                </c:pt>
                <c:pt idx="137">
                  <c:v>#N/A</c:v>
                </c:pt>
                <c:pt idx="138">
                  <c:v>#N/A</c:v>
                </c:pt>
                <c:pt idx="139">
                  <c:v>4</c:v>
                </c:pt>
                <c:pt idx="140">
                  <c:v>4</c:v>
                </c:pt>
                <c:pt idx="141">
                  <c:v>16</c:v>
                </c:pt>
                <c:pt idx="142">
                  <c:v>4</c:v>
                </c:pt>
                <c:pt idx="143">
                  <c:v>#N/A</c:v>
                </c:pt>
                <c:pt idx="144">
                  <c:v>63</c:v>
                </c:pt>
                <c:pt idx="145">
                  <c:v>#N/A</c:v>
                </c:pt>
              </c:numCache>
            </c:numRef>
          </c:xVal>
          <c:yVal>
            <c:numRef>
              <c:f>Plot_Data_Power!$M$2:$M$147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3.0856014994955099</c:v>
                </c:pt>
                <c:pt idx="21">
                  <c:v>#N/A</c:v>
                </c:pt>
                <c:pt idx="22">
                  <c:v>#N/A</c:v>
                </c:pt>
                <c:pt idx="23">
                  <c:v>#N/A</c:v>
                </c:pt>
                <c:pt idx="24">
                  <c:v>#N/A</c:v>
                </c:pt>
                <c:pt idx="25">
                  <c:v>#N/A</c:v>
                </c:pt>
                <c:pt idx="26">
                  <c:v>#N/A</c:v>
                </c:pt>
                <c:pt idx="27">
                  <c:v>#N/A</c:v>
                </c:pt>
                <c:pt idx="28">
                  <c:v>27.909849238995349</c:v>
                </c:pt>
                <c:pt idx="29">
                  <c:v>#N/A</c:v>
                </c:pt>
                <c:pt idx="30">
                  <c:v>#N/A</c:v>
                </c:pt>
                <c:pt idx="31">
                  <c:v>#N/A</c:v>
                </c:pt>
                <c:pt idx="32">
                  <c:v>#N/A</c:v>
                </c:pt>
                <c:pt idx="33">
                  <c:v>7.2040599657323385</c:v>
                </c:pt>
                <c:pt idx="34">
                  <c:v>#N/A</c:v>
                </c:pt>
                <c:pt idx="35">
                  <c:v>#N/A</c:v>
                </c:pt>
                <c:pt idx="36">
                  <c:v>#N/A</c:v>
                </c:pt>
                <c:pt idx="37">
                  <c:v>#N/A</c:v>
                </c:pt>
                <c:pt idx="38">
                  <c:v>#N/A</c:v>
                </c:pt>
                <c:pt idx="39">
                  <c:v>#N/A</c:v>
                </c:pt>
                <c:pt idx="40">
                  <c:v>#N/A</c:v>
                </c:pt>
                <c:pt idx="41">
                  <c:v>#N/A</c:v>
                </c:pt>
                <c:pt idx="42">
                  <c:v>#N/A</c:v>
                </c:pt>
                <c:pt idx="43">
                  <c:v>#N/A</c:v>
                </c:pt>
                <c:pt idx="44">
                  <c:v>9.4616903795620217</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12.841018132128113</c:v>
                </c:pt>
                <c:pt idx="59">
                  <c:v>#N/A</c:v>
                </c:pt>
                <c:pt idx="60">
                  <c:v>11.709034428044061</c:v>
                </c:pt>
                <c:pt idx="61">
                  <c:v>#N/A</c:v>
                </c:pt>
                <c:pt idx="62">
                  <c:v>#N/A</c:v>
                </c:pt>
                <c:pt idx="63">
                  <c:v>#N/A</c:v>
                </c:pt>
                <c:pt idx="64">
                  <c:v>#N/A</c:v>
                </c:pt>
                <c:pt idx="65">
                  <c:v>#N/A</c:v>
                </c:pt>
                <c:pt idx="66">
                  <c:v>#N/A</c:v>
                </c:pt>
                <c:pt idx="67">
                  <c:v>#N/A</c:v>
                </c:pt>
                <c:pt idx="68">
                  <c:v>#N/A</c:v>
                </c:pt>
                <c:pt idx="69">
                  <c:v>#N/A</c:v>
                </c:pt>
                <c:pt idx="70">
                  <c:v>#N/A</c:v>
                </c:pt>
                <c:pt idx="71">
                  <c:v>#N/A</c:v>
                </c:pt>
                <c:pt idx="72">
                  <c:v>#N/A</c:v>
                </c:pt>
                <c:pt idx="73">
                  <c:v>8.7718255691454807</c:v>
                </c:pt>
                <c:pt idx="74">
                  <c:v>#N/A</c:v>
                </c:pt>
                <c:pt idx="75">
                  <c:v>#N/A</c:v>
                </c:pt>
                <c:pt idx="76">
                  <c:v>#N/A</c:v>
                </c:pt>
                <c:pt idx="77">
                  <c:v>#N/A</c:v>
                </c:pt>
                <c:pt idx="78">
                  <c:v>#N/A</c:v>
                </c:pt>
                <c:pt idx="79">
                  <c:v>21.031911482673149</c:v>
                </c:pt>
                <c:pt idx="80">
                  <c:v>#N/A</c:v>
                </c:pt>
                <c:pt idx="81">
                  <c:v>11.536126012506429</c:v>
                </c:pt>
                <c:pt idx="82">
                  <c:v>#N/A</c:v>
                </c:pt>
                <c:pt idx="83">
                  <c:v>#N/A</c:v>
                </c:pt>
                <c:pt idx="84">
                  <c:v>#N/A</c:v>
                </c:pt>
                <c:pt idx="85">
                  <c:v>#N/A</c:v>
                </c:pt>
                <c:pt idx="86">
                  <c:v>#N/A</c:v>
                </c:pt>
                <c:pt idx="87">
                  <c:v>#N/A</c:v>
                </c:pt>
                <c:pt idx="88">
                  <c:v>#N/A</c:v>
                </c:pt>
                <c:pt idx="89">
                  <c:v>8.4480042964843136</c:v>
                </c:pt>
                <c:pt idx="90">
                  <c:v>5.7632479725858694</c:v>
                </c:pt>
                <c:pt idx="91">
                  <c:v>#N/A</c:v>
                </c:pt>
                <c:pt idx="92">
                  <c:v>#N/A</c:v>
                </c:pt>
                <c:pt idx="93">
                  <c:v>#N/A</c:v>
                </c:pt>
                <c:pt idx="94">
                  <c:v>#N/A</c:v>
                </c:pt>
                <c:pt idx="95">
                  <c:v>#N/A</c:v>
                </c:pt>
                <c:pt idx="96">
                  <c:v>#N/A</c:v>
                </c:pt>
                <c:pt idx="97">
                  <c:v>#N/A</c:v>
                </c:pt>
                <c:pt idx="98">
                  <c:v>#N/A</c:v>
                </c:pt>
                <c:pt idx="99">
                  <c:v>#N/A</c:v>
                </c:pt>
                <c:pt idx="100">
                  <c:v>23.196961194124789</c:v>
                </c:pt>
                <c:pt idx="101">
                  <c:v>#N/A</c:v>
                </c:pt>
                <c:pt idx="102">
                  <c:v>#N/A</c:v>
                </c:pt>
                <c:pt idx="103">
                  <c:v>8.6883116958769921E-2</c:v>
                </c:pt>
                <c:pt idx="104">
                  <c:v>8.6883116958769921E-2</c:v>
                </c:pt>
                <c:pt idx="105">
                  <c:v>6.1538461538461515</c:v>
                </c:pt>
                <c:pt idx="106">
                  <c:v>#N/A</c:v>
                </c:pt>
                <c:pt idx="107">
                  <c:v>#N/A</c:v>
                </c:pt>
                <c:pt idx="108">
                  <c:v>#N/A</c:v>
                </c:pt>
                <c:pt idx="109">
                  <c:v>#N/A</c:v>
                </c:pt>
                <c:pt idx="110">
                  <c:v>23.311034122198723</c:v>
                </c:pt>
                <c:pt idx="111">
                  <c:v>#N/A</c:v>
                </c:pt>
                <c:pt idx="112">
                  <c:v>#N/A</c:v>
                </c:pt>
                <c:pt idx="113">
                  <c:v>25.862110474144512</c:v>
                </c:pt>
                <c:pt idx="114">
                  <c:v>#N/A</c:v>
                </c:pt>
                <c:pt idx="115">
                  <c:v>#N/A</c:v>
                </c:pt>
                <c:pt idx="116">
                  <c:v>#N/A</c:v>
                </c:pt>
                <c:pt idx="117">
                  <c:v>#N/A</c:v>
                </c:pt>
                <c:pt idx="118">
                  <c:v>#N/A</c:v>
                </c:pt>
                <c:pt idx="119">
                  <c:v>#N/A</c:v>
                </c:pt>
                <c:pt idx="120">
                  <c:v>#N/A</c:v>
                </c:pt>
                <c:pt idx="121">
                  <c:v>#N/A</c:v>
                </c:pt>
                <c:pt idx="122">
                  <c:v>27.409770378233802</c:v>
                </c:pt>
                <c:pt idx="123">
                  <c:v>#N/A</c:v>
                </c:pt>
                <c:pt idx="124">
                  <c:v>#N/A</c:v>
                </c:pt>
                <c:pt idx="125">
                  <c:v>4.2637208011698107</c:v>
                </c:pt>
                <c:pt idx="126">
                  <c:v>19.309629766882882</c:v>
                </c:pt>
                <c:pt idx="127">
                  <c:v>#N/A</c:v>
                </c:pt>
                <c:pt idx="128">
                  <c:v>#N/A</c:v>
                </c:pt>
                <c:pt idx="129">
                  <c:v>#N/A</c:v>
                </c:pt>
                <c:pt idx="130">
                  <c:v>#N/A</c:v>
                </c:pt>
                <c:pt idx="131">
                  <c:v>#N/A</c:v>
                </c:pt>
                <c:pt idx="132">
                  <c:v>#N/A</c:v>
                </c:pt>
                <c:pt idx="133">
                  <c:v>#N/A</c:v>
                </c:pt>
                <c:pt idx="134">
                  <c:v>#N/A</c:v>
                </c:pt>
                <c:pt idx="135">
                  <c:v>9.6240601503759393</c:v>
                </c:pt>
                <c:pt idx="136">
                  <c:v>#N/A</c:v>
                </c:pt>
                <c:pt idx="137">
                  <c:v>#N/A</c:v>
                </c:pt>
                <c:pt idx="138">
                  <c:v>#N/A</c:v>
                </c:pt>
                <c:pt idx="139">
                  <c:v>19.253882782690258</c:v>
                </c:pt>
                <c:pt idx="140">
                  <c:v>#N/A</c:v>
                </c:pt>
                <c:pt idx="141">
                  <c:v>7.1259368391745719</c:v>
                </c:pt>
                <c:pt idx="142">
                  <c:v>0.42272506673069504</c:v>
                </c:pt>
                <c:pt idx="143">
                  <c:v>#N/A</c:v>
                </c:pt>
                <c:pt idx="144">
                  <c:v>#N/A</c:v>
                </c:pt>
                <c:pt idx="145">
                  <c:v>#N/A</c:v>
                </c:pt>
              </c:numCache>
            </c:numRef>
          </c:yVal>
          <c:smooth val="0"/>
          <c:extLst>
            <c:ext xmlns:c16="http://schemas.microsoft.com/office/drawing/2014/chart" uri="{C3380CC4-5D6E-409C-BE32-E72D297353CC}">
              <c16:uniqueId val="{00000003-EF44-4A1B-B70A-F925C7497FAD}"/>
            </c:ext>
          </c:extLst>
        </c:ser>
        <c:ser>
          <c:idx val="2"/>
          <c:order val="2"/>
          <c:tx>
            <c:v>Prad/dc 50-75 GHz</c:v>
          </c:tx>
          <c:spPr>
            <a:ln w="25400" cap="rnd">
              <a:noFill/>
              <a:round/>
            </a:ln>
            <a:effectLst/>
          </c:spPr>
          <c:marker>
            <c:symbol val="square"/>
            <c:size val="6"/>
            <c:spPr>
              <a:solidFill>
                <a:srgbClr val="00B050">
                  <a:alpha val="50000"/>
                </a:srgbClr>
              </a:solidFill>
              <a:ln w="9525">
                <a:noFill/>
              </a:ln>
              <a:effectLst/>
            </c:spPr>
          </c:marker>
          <c:xVal>
            <c:numRef>
              <c:f>Plot_Data_Power!$B$2:$B$147</c:f>
              <c:numCache>
                <c:formatCode>General</c:formatCode>
                <c:ptCount val="146"/>
                <c:pt idx="0">
                  <c:v>16</c:v>
                </c:pt>
                <c:pt idx="1">
                  <c:v>#N/A</c:v>
                </c:pt>
                <c:pt idx="2">
                  <c:v>#N/A</c:v>
                </c:pt>
                <c:pt idx="3">
                  <c:v>#N/A</c:v>
                </c:pt>
                <c:pt idx="4">
                  <c:v>16</c:v>
                </c:pt>
                <c:pt idx="5">
                  <c:v>#N/A</c:v>
                </c:pt>
                <c:pt idx="6">
                  <c:v>#N/A</c:v>
                </c:pt>
                <c:pt idx="7">
                  <c:v>#N/A</c:v>
                </c:pt>
                <c:pt idx="8">
                  <c:v>32</c:v>
                </c:pt>
                <c:pt idx="9">
                  <c:v>64</c:v>
                </c:pt>
                <c:pt idx="10">
                  <c:v>16</c:v>
                </c:pt>
                <c:pt idx="11">
                  <c:v>#N/A</c:v>
                </c:pt>
                <c:pt idx="12">
                  <c:v>16</c:v>
                </c:pt>
                <c:pt idx="13">
                  <c:v>#N/A</c:v>
                </c:pt>
                <c:pt idx="14">
                  <c:v>#N/A</c:v>
                </c:pt>
                <c:pt idx="15">
                  <c:v>4</c:v>
                </c:pt>
                <c:pt idx="16">
                  <c:v>#N/A</c:v>
                </c:pt>
                <c:pt idx="17">
                  <c:v>8</c:v>
                </c:pt>
                <c:pt idx="18">
                  <c:v>64</c:v>
                </c:pt>
                <c:pt idx="19">
                  <c:v>256</c:v>
                </c:pt>
                <c:pt idx="20">
                  <c:v>64</c:v>
                </c:pt>
                <c:pt idx="21">
                  <c:v>1</c:v>
                </c:pt>
                <c:pt idx="22">
                  <c:v>#N/A</c:v>
                </c:pt>
                <c:pt idx="23">
                  <c:v>#N/A</c:v>
                </c:pt>
                <c:pt idx="24">
                  <c:v>#N/A</c:v>
                </c:pt>
                <c:pt idx="25">
                  <c:v>1</c:v>
                </c:pt>
                <c:pt idx="26">
                  <c:v>#N/A</c:v>
                </c:pt>
                <c:pt idx="27">
                  <c:v>#N/A</c:v>
                </c:pt>
                <c:pt idx="28">
                  <c:v>24</c:v>
                </c:pt>
                <c:pt idx="29">
                  <c:v>144</c:v>
                </c:pt>
                <c:pt idx="30">
                  <c:v>#N/A</c:v>
                </c:pt>
                <c:pt idx="31">
                  <c:v>16</c:v>
                </c:pt>
                <c:pt idx="32">
                  <c:v>#N/A</c:v>
                </c:pt>
                <c:pt idx="33">
                  <c:v>64</c:v>
                </c:pt>
                <c:pt idx="34">
                  <c:v>64</c:v>
                </c:pt>
                <c:pt idx="35">
                  <c:v>#N/A</c:v>
                </c:pt>
                <c:pt idx="36">
                  <c:v>#N/A</c:v>
                </c:pt>
                <c:pt idx="37">
                  <c:v>1</c:v>
                </c:pt>
                <c:pt idx="38">
                  <c:v>#N/A</c:v>
                </c:pt>
                <c:pt idx="39">
                  <c:v>#N/A</c:v>
                </c:pt>
                <c:pt idx="40">
                  <c:v>64</c:v>
                </c:pt>
                <c:pt idx="41">
                  <c:v>1</c:v>
                </c:pt>
                <c:pt idx="42">
                  <c:v>#N/A</c:v>
                </c:pt>
                <c:pt idx="43">
                  <c:v>#N/A</c:v>
                </c:pt>
                <c:pt idx="44">
                  <c:v>64</c:v>
                </c:pt>
                <c:pt idx="45">
                  <c:v>256</c:v>
                </c:pt>
                <c:pt idx="46">
                  <c:v>64</c:v>
                </c:pt>
                <c:pt idx="47">
                  <c:v>36</c:v>
                </c:pt>
                <c:pt idx="48">
                  <c:v>16</c:v>
                </c:pt>
                <c:pt idx="49">
                  <c:v>#N/A</c:v>
                </c:pt>
                <c:pt idx="50">
                  <c:v>8</c:v>
                </c:pt>
                <c:pt idx="51">
                  <c:v>16</c:v>
                </c:pt>
                <c:pt idx="52">
                  <c:v>1</c:v>
                </c:pt>
                <c:pt idx="53">
                  <c:v>1</c:v>
                </c:pt>
                <c:pt idx="54">
                  <c:v>#N/A</c:v>
                </c:pt>
                <c:pt idx="55">
                  <c:v>1</c:v>
                </c:pt>
                <c:pt idx="56">
                  <c:v>128</c:v>
                </c:pt>
                <c:pt idx="57">
                  <c:v>#N/A</c:v>
                </c:pt>
                <c:pt idx="58">
                  <c:v>64</c:v>
                </c:pt>
                <c:pt idx="59">
                  <c:v>64</c:v>
                </c:pt>
                <c:pt idx="60">
                  <c:v>64</c:v>
                </c:pt>
                <c:pt idx="61">
                  <c:v>1</c:v>
                </c:pt>
                <c:pt idx="62">
                  <c:v>#N/A</c:v>
                </c:pt>
                <c:pt idx="63">
                  <c:v>#N/A</c:v>
                </c:pt>
                <c:pt idx="64">
                  <c:v>#N/A</c:v>
                </c:pt>
                <c:pt idx="65">
                  <c:v>#N/A</c:v>
                </c:pt>
                <c:pt idx="66">
                  <c:v>#N/A</c:v>
                </c:pt>
                <c:pt idx="67">
                  <c:v>2</c:v>
                </c:pt>
                <c:pt idx="68">
                  <c:v>1</c:v>
                </c:pt>
                <c:pt idx="69">
                  <c:v>#N/A</c:v>
                </c:pt>
                <c:pt idx="70">
                  <c:v>256</c:v>
                </c:pt>
                <c:pt idx="71">
                  <c:v>#N/A</c:v>
                </c:pt>
                <c:pt idx="72">
                  <c:v>#N/A</c:v>
                </c:pt>
                <c:pt idx="73">
                  <c:v>4</c:v>
                </c:pt>
                <c:pt idx="74">
                  <c:v>#N/A</c:v>
                </c:pt>
                <c:pt idx="75">
                  <c:v>#N/A</c:v>
                </c:pt>
                <c:pt idx="76">
                  <c:v>#N/A</c:v>
                </c:pt>
                <c:pt idx="77">
                  <c:v>#N/A</c:v>
                </c:pt>
                <c:pt idx="78">
                  <c:v>16</c:v>
                </c:pt>
                <c:pt idx="79">
                  <c:v>8</c:v>
                </c:pt>
                <c:pt idx="80">
                  <c:v>8</c:v>
                </c:pt>
                <c:pt idx="81">
                  <c:v>8</c:v>
                </c:pt>
                <c:pt idx="82">
                  <c:v>8</c:v>
                </c:pt>
                <c:pt idx="83">
                  <c:v>#N/A</c:v>
                </c:pt>
                <c:pt idx="84">
                  <c:v>#N/A</c:v>
                </c:pt>
                <c:pt idx="85">
                  <c:v>#N/A</c:v>
                </c:pt>
                <c:pt idx="86">
                  <c:v>#N/A</c:v>
                </c:pt>
                <c:pt idx="87">
                  <c:v>#N/A</c:v>
                </c:pt>
                <c:pt idx="88">
                  <c:v>1</c:v>
                </c:pt>
                <c:pt idx="89">
                  <c:v>16</c:v>
                </c:pt>
                <c:pt idx="90">
                  <c:v>16</c:v>
                </c:pt>
                <c:pt idx="91">
                  <c:v>#N/A</c:v>
                </c:pt>
                <c:pt idx="92">
                  <c:v>#N/A</c:v>
                </c:pt>
                <c:pt idx="93">
                  <c:v>#N/A</c:v>
                </c:pt>
                <c:pt idx="94">
                  <c:v>#N/A</c:v>
                </c:pt>
                <c:pt idx="95">
                  <c:v>1</c:v>
                </c:pt>
                <c:pt idx="96">
                  <c:v>8</c:v>
                </c:pt>
                <c:pt idx="97">
                  <c:v>#N/A</c:v>
                </c:pt>
                <c:pt idx="98">
                  <c:v>256</c:v>
                </c:pt>
                <c:pt idx="99">
                  <c:v>#N/A</c:v>
                </c:pt>
                <c:pt idx="100">
                  <c:v>4</c:v>
                </c:pt>
                <c:pt idx="101">
                  <c:v>16</c:v>
                </c:pt>
                <c:pt idx="102">
                  <c:v>64</c:v>
                </c:pt>
                <c:pt idx="103">
                  <c:v>32</c:v>
                </c:pt>
                <c:pt idx="104">
                  <c:v>32</c:v>
                </c:pt>
                <c:pt idx="105">
                  <c:v>16</c:v>
                </c:pt>
                <c:pt idx="106">
                  <c:v>16</c:v>
                </c:pt>
                <c:pt idx="107">
                  <c:v>16</c:v>
                </c:pt>
                <c:pt idx="108">
                  <c:v>4</c:v>
                </c:pt>
                <c:pt idx="109">
                  <c:v>#N/A</c:v>
                </c:pt>
                <c:pt idx="110">
                  <c:v>256</c:v>
                </c:pt>
                <c:pt idx="111">
                  <c:v>16</c:v>
                </c:pt>
                <c:pt idx="112">
                  <c:v>#N/A</c:v>
                </c:pt>
                <c:pt idx="113">
                  <c:v>4</c:v>
                </c:pt>
                <c:pt idx="114">
                  <c:v>#N/A</c:v>
                </c:pt>
                <c:pt idx="115">
                  <c:v>#N/A</c:v>
                </c:pt>
                <c:pt idx="116">
                  <c:v>#N/A</c:v>
                </c:pt>
                <c:pt idx="117">
                  <c:v>#N/A</c:v>
                </c:pt>
                <c:pt idx="118">
                  <c:v>#N/A</c:v>
                </c:pt>
                <c:pt idx="119">
                  <c:v>#N/A</c:v>
                </c:pt>
                <c:pt idx="120">
                  <c:v>#N/A</c:v>
                </c:pt>
                <c:pt idx="121">
                  <c:v>#N/A</c:v>
                </c:pt>
                <c:pt idx="122">
                  <c:v>64</c:v>
                </c:pt>
                <c:pt idx="123">
                  <c:v>#N/A</c:v>
                </c:pt>
                <c:pt idx="124">
                  <c:v>16</c:v>
                </c:pt>
                <c:pt idx="125">
                  <c:v>16</c:v>
                </c:pt>
                <c:pt idx="126">
                  <c:v>64</c:v>
                </c:pt>
                <c:pt idx="127">
                  <c:v>4</c:v>
                </c:pt>
                <c:pt idx="128">
                  <c:v>4</c:v>
                </c:pt>
                <c:pt idx="129">
                  <c:v>1</c:v>
                </c:pt>
                <c:pt idx="130">
                  <c:v>1</c:v>
                </c:pt>
                <c:pt idx="131">
                  <c:v>144</c:v>
                </c:pt>
                <c:pt idx="132">
                  <c:v>#N/A</c:v>
                </c:pt>
                <c:pt idx="133">
                  <c:v>#N/A</c:v>
                </c:pt>
                <c:pt idx="134">
                  <c:v>#N/A</c:v>
                </c:pt>
                <c:pt idx="135">
                  <c:v>256</c:v>
                </c:pt>
                <c:pt idx="136">
                  <c:v>1</c:v>
                </c:pt>
                <c:pt idx="137">
                  <c:v>#N/A</c:v>
                </c:pt>
                <c:pt idx="138">
                  <c:v>#N/A</c:v>
                </c:pt>
                <c:pt idx="139">
                  <c:v>4</c:v>
                </c:pt>
                <c:pt idx="140">
                  <c:v>4</c:v>
                </c:pt>
                <c:pt idx="141">
                  <c:v>16</c:v>
                </c:pt>
                <c:pt idx="142">
                  <c:v>4</c:v>
                </c:pt>
                <c:pt idx="143">
                  <c:v>#N/A</c:v>
                </c:pt>
                <c:pt idx="144">
                  <c:v>63</c:v>
                </c:pt>
                <c:pt idx="145">
                  <c:v>#N/A</c:v>
                </c:pt>
              </c:numCache>
            </c:numRef>
          </c:xVal>
          <c:yVal>
            <c:numRef>
              <c:f>Plot_Data_Power!$N$2:$N$147</c:f>
              <c:numCache>
                <c:formatCode>General</c:formatCode>
                <c:ptCount val="146"/>
                <c:pt idx="0">
                  <c:v>3.583739108220537</c:v>
                </c:pt>
                <c:pt idx="1">
                  <c:v>#N/A</c:v>
                </c:pt>
                <c:pt idx="2">
                  <c:v>#N/A</c:v>
                </c:pt>
                <c:pt idx="3">
                  <c:v>#N/A</c:v>
                </c:pt>
                <c:pt idx="4">
                  <c:v>#N/A</c:v>
                </c:pt>
                <c:pt idx="5">
                  <c:v>#N/A</c:v>
                </c:pt>
                <c:pt idx="6">
                  <c:v>#N/A</c:v>
                </c:pt>
                <c:pt idx="7">
                  <c:v>#N/A</c:v>
                </c:pt>
                <c:pt idx="8">
                  <c:v>2.6352313834736503</c:v>
                </c:pt>
                <c:pt idx="9">
                  <c:v>#N/A</c:v>
                </c:pt>
                <c:pt idx="10">
                  <c:v>#N/A</c:v>
                </c:pt>
                <c:pt idx="11">
                  <c:v>#N/A</c:v>
                </c:pt>
                <c:pt idx="12">
                  <c:v>#N/A</c:v>
                </c:pt>
                <c:pt idx="13">
                  <c:v>#N/A</c:v>
                </c:pt>
                <c:pt idx="14">
                  <c:v>#N/A</c:v>
                </c:pt>
                <c:pt idx="15">
                  <c:v>#N/A</c:v>
                </c:pt>
                <c:pt idx="16">
                  <c:v>#N/A</c:v>
                </c:pt>
                <c:pt idx="17">
                  <c:v>#N/A</c:v>
                </c:pt>
                <c:pt idx="18">
                  <c:v>1.824239830828692</c:v>
                </c:pt>
                <c:pt idx="19">
                  <c:v>1.5962098519751045</c:v>
                </c:pt>
                <c:pt idx="20">
                  <c:v>#N/A</c:v>
                </c:pt>
                <c:pt idx="21">
                  <c:v>#N/A</c:v>
                </c:pt>
                <c:pt idx="22">
                  <c:v>#N/A</c:v>
                </c:pt>
                <c:pt idx="23">
                  <c:v>#N/A</c:v>
                </c:pt>
                <c:pt idx="24">
                  <c:v>#N/A</c:v>
                </c:pt>
                <c:pt idx="25">
                  <c:v>#N/A</c:v>
                </c:pt>
                <c:pt idx="26">
                  <c:v>#N/A</c:v>
                </c:pt>
                <c:pt idx="27">
                  <c:v>#N/A</c:v>
                </c:pt>
                <c:pt idx="28">
                  <c:v>#N/A</c:v>
                </c:pt>
                <c:pt idx="29">
                  <c:v>1.7142857142857162</c:v>
                </c:pt>
                <c:pt idx="30">
                  <c:v>#N/A</c:v>
                </c:pt>
                <c:pt idx="31">
                  <c:v>#N/A</c:v>
                </c:pt>
                <c:pt idx="32">
                  <c:v>#N/A</c:v>
                </c:pt>
                <c:pt idx="33">
                  <c:v>#N/A</c:v>
                </c:pt>
                <c:pt idx="34">
                  <c:v>#N/A</c:v>
                </c:pt>
                <c:pt idx="35">
                  <c:v>#N/A</c:v>
                </c:pt>
                <c:pt idx="36">
                  <c:v>#N/A</c:v>
                </c:pt>
                <c:pt idx="37">
                  <c:v>#N/A</c:v>
                </c:pt>
                <c:pt idx="38">
                  <c:v>#N/A</c:v>
                </c:pt>
                <c:pt idx="39">
                  <c:v>#N/A</c:v>
                </c:pt>
                <c:pt idx="40">
                  <c:v>4.2632253005418503</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14.925373134328357</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9.818835662740133</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4-EF44-4A1B-B70A-F925C7497FAD}"/>
            </c:ext>
          </c:extLst>
        </c:ser>
        <c:ser>
          <c:idx val="3"/>
          <c:order val="3"/>
          <c:tx>
            <c:v>Prad/dc 75-110GHz</c:v>
          </c:tx>
          <c:spPr>
            <a:ln w="25400" cap="rnd">
              <a:noFill/>
              <a:round/>
            </a:ln>
            <a:effectLst/>
          </c:spPr>
          <c:marker>
            <c:symbol val="square"/>
            <c:size val="6"/>
            <c:spPr>
              <a:solidFill>
                <a:srgbClr val="00B0F0">
                  <a:alpha val="50000"/>
                </a:srgbClr>
              </a:solidFill>
              <a:ln w="9525">
                <a:noFill/>
              </a:ln>
              <a:effectLst/>
            </c:spPr>
          </c:marker>
          <c:xVal>
            <c:numRef>
              <c:f>Plot_Data_Power!$B$2:$B$147</c:f>
              <c:numCache>
                <c:formatCode>General</c:formatCode>
                <c:ptCount val="146"/>
                <c:pt idx="0">
                  <c:v>16</c:v>
                </c:pt>
                <c:pt idx="1">
                  <c:v>#N/A</c:v>
                </c:pt>
                <c:pt idx="2">
                  <c:v>#N/A</c:v>
                </c:pt>
                <c:pt idx="3">
                  <c:v>#N/A</c:v>
                </c:pt>
                <c:pt idx="4">
                  <c:v>16</c:v>
                </c:pt>
                <c:pt idx="5">
                  <c:v>#N/A</c:v>
                </c:pt>
                <c:pt idx="6">
                  <c:v>#N/A</c:v>
                </c:pt>
                <c:pt idx="7">
                  <c:v>#N/A</c:v>
                </c:pt>
                <c:pt idx="8">
                  <c:v>32</c:v>
                </c:pt>
                <c:pt idx="9">
                  <c:v>64</c:v>
                </c:pt>
                <c:pt idx="10">
                  <c:v>16</c:v>
                </c:pt>
                <c:pt idx="11">
                  <c:v>#N/A</c:v>
                </c:pt>
                <c:pt idx="12">
                  <c:v>16</c:v>
                </c:pt>
                <c:pt idx="13">
                  <c:v>#N/A</c:v>
                </c:pt>
                <c:pt idx="14">
                  <c:v>#N/A</c:v>
                </c:pt>
                <c:pt idx="15">
                  <c:v>4</c:v>
                </c:pt>
                <c:pt idx="16">
                  <c:v>#N/A</c:v>
                </c:pt>
                <c:pt idx="17">
                  <c:v>8</c:v>
                </c:pt>
                <c:pt idx="18">
                  <c:v>64</c:v>
                </c:pt>
                <c:pt idx="19">
                  <c:v>256</c:v>
                </c:pt>
                <c:pt idx="20">
                  <c:v>64</c:v>
                </c:pt>
                <c:pt idx="21">
                  <c:v>1</c:v>
                </c:pt>
                <c:pt idx="22">
                  <c:v>#N/A</c:v>
                </c:pt>
                <c:pt idx="23">
                  <c:v>#N/A</c:v>
                </c:pt>
                <c:pt idx="24">
                  <c:v>#N/A</c:v>
                </c:pt>
                <c:pt idx="25">
                  <c:v>1</c:v>
                </c:pt>
                <c:pt idx="26">
                  <c:v>#N/A</c:v>
                </c:pt>
                <c:pt idx="27">
                  <c:v>#N/A</c:v>
                </c:pt>
                <c:pt idx="28">
                  <c:v>24</c:v>
                </c:pt>
                <c:pt idx="29">
                  <c:v>144</c:v>
                </c:pt>
                <c:pt idx="30">
                  <c:v>#N/A</c:v>
                </c:pt>
                <c:pt idx="31">
                  <c:v>16</c:v>
                </c:pt>
                <c:pt idx="32">
                  <c:v>#N/A</c:v>
                </c:pt>
                <c:pt idx="33">
                  <c:v>64</c:v>
                </c:pt>
                <c:pt idx="34">
                  <c:v>64</c:v>
                </c:pt>
                <c:pt idx="35">
                  <c:v>#N/A</c:v>
                </c:pt>
                <c:pt idx="36">
                  <c:v>#N/A</c:v>
                </c:pt>
                <c:pt idx="37">
                  <c:v>1</c:v>
                </c:pt>
                <c:pt idx="38">
                  <c:v>#N/A</c:v>
                </c:pt>
                <c:pt idx="39">
                  <c:v>#N/A</c:v>
                </c:pt>
                <c:pt idx="40">
                  <c:v>64</c:v>
                </c:pt>
                <c:pt idx="41">
                  <c:v>1</c:v>
                </c:pt>
                <c:pt idx="42">
                  <c:v>#N/A</c:v>
                </c:pt>
                <c:pt idx="43">
                  <c:v>#N/A</c:v>
                </c:pt>
                <c:pt idx="44">
                  <c:v>64</c:v>
                </c:pt>
                <c:pt idx="45">
                  <c:v>256</c:v>
                </c:pt>
                <c:pt idx="46">
                  <c:v>64</c:v>
                </c:pt>
                <c:pt idx="47">
                  <c:v>36</c:v>
                </c:pt>
                <c:pt idx="48">
                  <c:v>16</c:v>
                </c:pt>
                <c:pt idx="49">
                  <c:v>#N/A</c:v>
                </c:pt>
                <c:pt idx="50">
                  <c:v>8</c:v>
                </c:pt>
                <c:pt idx="51">
                  <c:v>16</c:v>
                </c:pt>
                <c:pt idx="52">
                  <c:v>1</c:v>
                </c:pt>
                <c:pt idx="53">
                  <c:v>1</c:v>
                </c:pt>
                <c:pt idx="54">
                  <c:v>#N/A</c:v>
                </c:pt>
                <c:pt idx="55">
                  <c:v>1</c:v>
                </c:pt>
                <c:pt idx="56">
                  <c:v>128</c:v>
                </c:pt>
                <c:pt idx="57">
                  <c:v>#N/A</c:v>
                </c:pt>
                <c:pt idx="58">
                  <c:v>64</c:v>
                </c:pt>
                <c:pt idx="59">
                  <c:v>64</c:v>
                </c:pt>
                <c:pt idx="60">
                  <c:v>64</c:v>
                </c:pt>
                <c:pt idx="61">
                  <c:v>1</c:v>
                </c:pt>
                <c:pt idx="62">
                  <c:v>#N/A</c:v>
                </c:pt>
                <c:pt idx="63">
                  <c:v>#N/A</c:v>
                </c:pt>
                <c:pt idx="64">
                  <c:v>#N/A</c:v>
                </c:pt>
                <c:pt idx="65">
                  <c:v>#N/A</c:v>
                </c:pt>
                <c:pt idx="66">
                  <c:v>#N/A</c:v>
                </c:pt>
                <c:pt idx="67">
                  <c:v>2</c:v>
                </c:pt>
                <c:pt idx="68">
                  <c:v>1</c:v>
                </c:pt>
                <c:pt idx="69">
                  <c:v>#N/A</c:v>
                </c:pt>
                <c:pt idx="70">
                  <c:v>256</c:v>
                </c:pt>
                <c:pt idx="71">
                  <c:v>#N/A</c:v>
                </c:pt>
                <c:pt idx="72">
                  <c:v>#N/A</c:v>
                </c:pt>
                <c:pt idx="73">
                  <c:v>4</c:v>
                </c:pt>
                <c:pt idx="74">
                  <c:v>#N/A</c:v>
                </c:pt>
                <c:pt idx="75">
                  <c:v>#N/A</c:v>
                </c:pt>
                <c:pt idx="76">
                  <c:v>#N/A</c:v>
                </c:pt>
                <c:pt idx="77">
                  <c:v>#N/A</c:v>
                </c:pt>
                <c:pt idx="78">
                  <c:v>16</c:v>
                </c:pt>
                <c:pt idx="79">
                  <c:v>8</c:v>
                </c:pt>
                <c:pt idx="80">
                  <c:v>8</c:v>
                </c:pt>
                <c:pt idx="81">
                  <c:v>8</c:v>
                </c:pt>
                <c:pt idx="82">
                  <c:v>8</c:v>
                </c:pt>
                <c:pt idx="83">
                  <c:v>#N/A</c:v>
                </c:pt>
                <c:pt idx="84">
                  <c:v>#N/A</c:v>
                </c:pt>
                <c:pt idx="85">
                  <c:v>#N/A</c:v>
                </c:pt>
                <c:pt idx="86">
                  <c:v>#N/A</c:v>
                </c:pt>
                <c:pt idx="87">
                  <c:v>#N/A</c:v>
                </c:pt>
                <c:pt idx="88">
                  <c:v>1</c:v>
                </c:pt>
                <c:pt idx="89">
                  <c:v>16</c:v>
                </c:pt>
                <c:pt idx="90">
                  <c:v>16</c:v>
                </c:pt>
                <c:pt idx="91">
                  <c:v>#N/A</c:v>
                </c:pt>
                <c:pt idx="92">
                  <c:v>#N/A</c:v>
                </c:pt>
                <c:pt idx="93">
                  <c:v>#N/A</c:v>
                </c:pt>
                <c:pt idx="94">
                  <c:v>#N/A</c:v>
                </c:pt>
                <c:pt idx="95">
                  <c:v>1</c:v>
                </c:pt>
                <c:pt idx="96">
                  <c:v>8</c:v>
                </c:pt>
                <c:pt idx="97">
                  <c:v>#N/A</c:v>
                </c:pt>
                <c:pt idx="98">
                  <c:v>256</c:v>
                </c:pt>
                <c:pt idx="99">
                  <c:v>#N/A</c:v>
                </c:pt>
                <c:pt idx="100">
                  <c:v>4</c:v>
                </c:pt>
                <c:pt idx="101">
                  <c:v>16</c:v>
                </c:pt>
                <c:pt idx="102">
                  <c:v>64</c:v>
                </c:pt>
                <c:pt idx="103">
                  <c:v>32</c:v>
                </c:pt>
                <c:pt idx="104">
                  <c:v>32</c:v>
                </c:pt>
                <c:pt idx="105">
                  <c:v>16</c:v>
                </c:pt>
                <c:pt idx="106">
                  <c:v>16</c:v>
                </c:pt>
                <c:pt idx="107">
                  <c:v>16</c:v>
                </c:pt>
                <c:pt idx="108">
                  <c:v>4</c:v>
                </c:pt>
                <c:pt idx="109">
                  <c:v>#N/A</c:v>
                </c:pt>
                <c:pt idx="110">
                  <c:v>256</c:v>
                </c:pt>
                <c:pt idx="111">
                  <c:v>16</c:v>
                </c:pt>
                <c:pt idx="112">
                  <c:v>#N/A</c:v>
                </c:pt>
                <c:pt idx="113">
                  <c:v>4</c:v>
                </c:pt>
                <c:pt idx="114">
                  <c:v>#N/A</c:v>
                </c:pt>
                <c:pt idx="115">
                  <c:v>#N/A</c:v>
                </c:pt>
                <c:pt idx="116">
                  <c:v>#N/A</c:v>
                </c:pt>
                <c:pt idx="117">
                  <c:v>#N/A</c:v>
                </c:pt>
                <c:pt idx="118">
                  <c:v>#N/A</c:v>
                </c:pt>
                <c:pt idx="119">
                  <c:v>#N/A</c:v>
                </c:pt>
                <c:pt idx="120">
                  <c:v>#N/A</c:v>
                </c:pt>
                <c:pt idx="121">
                  <c:v>#N/A</c:v>
                </c:pt>
                <c:pt idx="122">
                  <c:v>64</c:v>
                </c:pt>
                <c:pt idx="123">
                  <c:v>#N/A</c:v>
                </c:pt>
                <c:pt idx="124">
                  <c:v>16</c:v>
                </c:pt>
                <c:pt idx="125">
                  <c:v>16</c:v>
                </c:pt>
                <c:pt idx="126">
                  <c:v>64</c:v>
                </c:pt>
                <c:pt idx="127">
                  <c:v>4</c:v>
                </c:pt>
                <c:pt idx="128">
                  <c:v>4</c:v>
                </c:pt>
                <c:pt idx="129">
                  <c:v>1</c:v>
                </c:pt>
                <c:pt idx="130">
                  <c:v>1</c:v>
                </c:pt>
                <c:pt idx="131">
                  <c:v>144</c:v>
                </c:pt>
                <c:pt idx="132">
                  <c:v>#N/A</c:v>
                </c:pt>
                <c:pt idx="133">
                  <c:v>#N/A</c:v>
                </c:pt>
                <c:pt idx="134">
                  <c:v>#N/A</c:v>
                </c:pt>
                <c:pt idx="135">
                  <c:v>256</c:v>
                </c:pt>
                <c:pt idx="136">
                  <c:v>1</c:v>
                </c:pt>
                <c:pt idx="137">
                  <c:v>#N/A</c:v>
                </c:pt>
                <c:pt idx="138">
                  <c:v>#N/A</c:v>
                </c:pt>
                <c:pt idx="139">
                  <c:v>4</c:v>
                </c:pt>
                <c:pt idx="140">
                  <c:v>4</c:v>
                </c:pt>
                <c:pt idx="141">
                  <c:v>16</c:v>
                </c:pt>
                <c:pt idx="142">
                  <c:v>4</c:v>
                </c:pt>
                <c:pt idx="143">
                  <c:v>#N/A</c:v>
                </c:pt>
                <c:pt idx="144">
                  <c:v>63</c:v>
                </c:pt>
                <c:pt idx="145">
                  <c:v>#N/A</c:v>
                </c:pt>
              </c:numCache>
            </c:numRef>
          </c:xVal>
          <c:yVal>
            <c:numRef>
              <c:f>Plot_Data_Power!$N$2:$N$147</c:f>
              <c:numCache>
                <c:formatCode>General</c:formatCode>
                <c:ptCount val="146"/>
                <c:pt idx="0">
                  <c:v>3.583739108220537</c:v>
                </c:pt>
                <c:pt idx="1">
                  <c:v>#N/A</c:v>
                </c:pt>
                <c:pt idx="2">
                  <c:v>#N/A</c:v>
                </c:pt>
                <c:pt idx="3">
                  <c:v>#N/A</c:v>
                </c:pt>
                <c:pt idx="4">
                  <c:v>#N/A</c:v>
                </c:pt>
                <c:pt idx="5">
                  <c:v>#N/A</c:v>
                </c:pt>
                <c:pt idx="6">
                  <c:v>#N/A</c:v>
                </c:pt>
                <c:pt idx="7">
                  <c:v>#N/A</c:v>
                </c:pt>
                <c:pt idx="8">
                  <c:v>2.6352313834736503</c:v>
                </c:pt>
                <c:pt idx="9">
                  <c:v>#N/A</c:v>
                </c:pt>
                <c:pt idx="10">
                  <c:v>#N/A</c:v>
                </c:pt>
                <c:pt idx="11">
                  <c:v>#N/A</c:v>
                </c:pt>
                <c:pt idx="12">
                  <c:v>#N/A</c:v>
                </c:pt>
                <c:pt idx="13">
                  <c:v>#N/A</c:v>
                </c:pt>
                <c:pt idx="14">
                  <c:v>#N/A</c:v>
                </c:pt>
                <c:pt idx="15">
                  <c:v>#N/A</c:v>
                </c:pt>
                <c:pt idx="16">
                  <c:v>#N/A</c:v>
                </c:pt>
                <c:pt idx="17">
                  <c:v>#N/A</c:v>
                </c:pt>
                <c:pt idx="18">
                  <c:v>1.824239830828692</c:v>
                </c:pt>
                <c:pt idx="19">
                  <c:v>1.5962098519751045</c:v>
                </c:pt>
                <c:pt idx="20">
                  <c:v>#N/A</c:v>
                </c:pt>
                <c:pt idx="21">
                  <c:v>#N/A</c:v>
                </c:pt>
                <c:pt idx="22">
                  <c:v>#N/A</c:v>
                </c:pt>
                <c:pt idx="23">
                  <c:v>#N/A</c:v>
                </c:pt>
                <c:pt idx="24">
                  <c:v>#N/A</c:v>
                </c:pt>
                <c:pt idx="25">
                  <c:v>#N/A</c:v>
                </c:pt>
                <c:pt idx="26">
                  <c:v>#N/A</c:v>
                </c:pt>
                <c:pt idx="27">
                  <c:v>#N/A</c:v>
                </c:pt>
                <c:pt idx="28">
                  <c:v>#N/A</c:v>
                </c:pt>
                <c:pt idx="29">
                  <c:v>1.7142857142857162</c:v>
                </c:pt>
                <c:pt idx="30">
                  <c:v>#N/A</c:v>
                </c:pt>
                <c:pt idx="31">
                  <c:v>#N/A</c:v>
                </c:pt>
                <c:pt idx="32">
                  <c:v>#N/A</c:v>
                </c:pt>
                <c:pt idx="33">
                  <c:v>#N/A</c:v>
                </c:pt>
                <c:pt idx="34">
                  <c:v>#N/A</c:v>
                </c:pt>
                <c:pt idx="35">
                  <c:v>#N/A</c:v>
                </c:pt>
                <c:pt idx="36">
                  <c:v>#N/A</c:v>
                </c:pt>
                <c:pt idx="37">
                  <c:v>#N/A</c:v>
                </c:pt>
                <c:pt idx="38">
                  <c:v>#N/A</c:v>
                </c:pt>
                <c:pt idx="39">
                  <c:v>#N/A</c:v>
                </c:pt>
                <c:pt idx="40">
                  <c:v>4.2632253005418503</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14.925373134328357</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9.818835662740133</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5-EF44-4A1B-B70A-F925C7497FAD}"/>
            </c:ext>
          </c:extLst>
        </c:ser>
        <c:ser>
          <c:idx val="4"/>
          <c:order val="4"/>
          <c:tx>
            <c:v>Prad/dc 110-170GHz</c:v>
          </c:tx>
          <c:spPr>
            <a:ln w="25400" cap="rnd">
              <a:noFill/>
              <a:round/>
            </a:ln>
            <a:effectLst/>
          </c:spPr>
          <c:marker>
            <c:symbol val="square"/>
            <c:size val="6"/>
            <c:spPr>
              <a:solidFill>
                <a:srgbClr val="7030A0">
                  <a:alpha val="50000"/>
                </a:srgbClr>
              </a:solidFill>
              <a:ln w="9525">
                <a:noFill/>
              </a:ln>
              <a:effectLst/>
            </c:spPr>
          </c:marker>
          <c:xVal>
            <c:numRef>
              <c:f>Plot_Data_Power!$B$2:$B$147</c:f>
              <c:numCache>
                <c:formatCode>General</c:formatCode>
                <c:ptCount val="146"/>
                <c:pt idx="0">
                  <c:v>16</c:v>
                </c:pt>
                <c:pt idx="1">
                  <c:v>#N/A</c:v>
                </c:pt>
                <c:pt idx="2">
                  <c:v>#N/A</c:v>
                </c:pt>
                <c:pt idx="3">
                  <c:v>#N/A</c:v>
                </c:pt>
                <c:pt idx="4">
                  <c:v>16</c:v>
                </c:pt>
                <c:pt idx="5">
                  <c:v>#N/A</c:v>
                </c:pt>
                <c:pt idx="6">
                  <c:v>#N/A</c:v>
                </c:pt>
                <c:pt idx="7">
                  <c:v>#N/A</c:v>
                </c:pt>
                <c:pt idx="8">
                  <c:v>32</c:v>
                </c:pt>
                <c:pt idx="9">
                  <c:v>64</c:v>
                </c:pt>
                <c:pt idx="10">
                  <c:v>16</c:v>
                </c:pt>
                <c:pt idx="11">
                  <c:v>#N/A</c:v>
                </c:pt>
                <c:pt idx="12">
                  <c:v>16</c:v>
                </c:pt>
                <c:pt idx="13">
                  <c:v>#N/A</c:v>
                </c:pt>
                <c:pt idx="14">
                  <c:v>#N/A</c:v>
                </c:pt>
                <c:pt idx="15">
                  <c:v>4</c:v>
                </c:pt>
                <c:pt idx="16">
                  <c:v>#N/A</c:v>
                </c:pt>
                <c:pt idx="17">
                  <c:v>8</c:v>
                </c:pt>
                <c:pt idx="18">
                  <c:v>64</c:v>
                </c:pt>
                <c:pt idx="19">
                  <c:v>256</c:v>
                </c:pt>
                <c:pt idx="20">
                  <c:v>64</c:v>
                </c:pt>
                <c:pt idx="21">
                  <c:v>1</c:v>
                </c:pt>
                <c:pt idx="22">
                  <c:v>#N/A</c:v>
                </c:pt>
                <c:pt idx="23">
                  <c:v>#N/A</c:v>
                </c:pt>
                <c:pt idx="24">
                  <c:v>#N/A</c:v>
                </c:pt>
                <c:pt idx="25">
                  <c:v>1</c:v>
                </c:pt>
                <c:pt idx="26">
                  <c:v>#N/A</c:v>
                </c:pt>
                <c:pt idx="27">
                  <c:v>#N/A</c:v>
                </c:pt>
                <c:pt idx="28">
                  <c:v>24</c:v>
                </c:pt>
                <c:pt idx="29">
                  <c:v>144</c:v>
                </c:pt>
                <c:pt idx="30">
                  <c:v>#N/A</c:v>
                </c:pt>
                <c:pt idx="31">
                  <c:v>16</c:v>
                </c:pt>
                <c:pt idx="32">
                  <c:v>#N/A</c:v>
                </c:pt>
                <c:pt idx="33">
                  <c:v>64</c:v>
                </c:pt>
                <c:pt idx="34">
                  <c:v>64</c:v>
                </c:pt>
                <c:pt idx="35">
                  <c:v>#N/A</c:v>
                </c:pt>
                <c:pt idx="36">
                  <c:v>#N/A</c:v>
                </c:pt>
                <c:pt idx="37">
                  <c:v>1</c:v>
                </c:pt>
                <c:pt idx="38">
                  <c:v>#N/A</c:v>
                </c:pt>
                <c:pt idx="39">
                  <c:v>#N/A</c:v>
                </c:pt>
                <c:pt idx="40">
                  <c:v>64</c:v>
                </c:pt>
                <c:pt idx="41">
                  <c:v>1</c:v>
                </c:pt>
                <c:pt idx="42">
                  <c:v>#N/A</c:v>
                </c:pt>
                <c:pt idx="43">
                  <c:v>#N/A</c:v>
                </c:pt>
                <c:pt idx="44">
                  <c:v>64</c:v>
                </c:pt>
                <c:pt idx="45">
                  <c:v>256</c:v>
                </c:pt>
                <c:pt idx="46">
                  <c:v>64</c:v>
                </c:pt>
                <c:pt idx="47">
                  <c:v>36</c:v>
                </c:pt>
                <c:pt idx="48">
                  <c:v>16</c:v>
                </c:pt>
                <c:pt idx="49">
                  <c:v>#N/A</c:v>
                </c:pt>
                <c:pt idx="50">
                  <c:v>8</c:v>
                </c:pt>
                <c:pt idx="51">
                  <c:v>16</c:v>
                </c:pt>
                <c:pt idx="52">
                  <c:v>1</c:v>
                </c:pt>
                <c:pt idx="53">
                  <c:v>1</c:v>
                </c:pt>
                <c:pt idx="54">
                  <c:v>#N/A</c:v>
                </c:pt>
                <c:pt idx="55">
                  <c:v>1</c:v>
                </c:pt>
                <c:pt idx="56">
                  <c:v>128</c:v>
                </c:pt>
                <c:pt idx="57">
                  <c:v>#N/A</c:v>
                </c:pt>
                <c:pt idx="58">
                  <c:v>64</c:v>
                </c:pt>
                <c:pt idx="59">
                  <c:v>64</c:v>
                </c:pt>
                <c:pt idx="60">
                  <c:v>64</c:v>
                </c:pt>
                <c:pt idx="61">
                  <c:v>1</c:v>
                </c:pt>
                <c:pt idx="62">
                  <c:v>#N/A</c:v>
                </c:pt>
                <c:pt idx="63">
                  <c:v>#N/A</c:v>
                </c:pt>
                <c:pt idx="64">
                  <c:v>#N/A</c:v>
                </c:pt>
                <c:pt idx="65">
                  <c:v>#N/A</c:v>
                </c:pt>
                <c:pt idx="66">
                  <c:v>#N/A</c:v>
                </c:pt>
                <c:pt idx="67">
                  <c:v>2</c:v>
                </c:pt>
                <c:pt idx="68">
                  <c:v>1</c:v>
                </c:pt>
                <c:pt idx="69">
                  <c:v>#N/A</c:v>
                </c:pt>
                <c:pt idx="70">
                  <c:v>256</c:v>
                </c:pt>
                <c:pt idx="71">
                  <c:v>#N/A</c:v>
                </c:pt>
                <c:pt idx="72">
                  <c:v>#N/A</c:v>
                </c:pt>
                <c:pt idx="73">
                  <c:v>4</c:v>
                </c:pt>
                <c:pt idx="74">
                  <c:v>#N/A</c:v>
                </c:pt>
                <c:pt idx="75">
                  <c:v>#N/A</c:v>
                </c:pt>
                <c:pt idx="76">
                  <c:v>#N/A</c:v>
                </c:pt>
                <c:pt idx="77">
                  <c:v>#N/A</c:v>
                </c:pt>
                <c:pt idx="78">
                  <c:v>16</c:v>
                </c:pt>
                <c:pt idx="79">
                  <c:v>8</c:v>
                </c:pt>
                <c:pt idx="80">
                  <c:v>8</c:v>
                </c:pt>
                <c:pt idx="81">
                  <c:v>8</c:v>
                </c:pt>
                <c:pt idx="82">
                  <c:v>8</c:v>
                </c:pt>
                <c:pt idx="83">
                  <c:v>#N/A</c:v>
                </c:pt>
                <c:pt idx="84">
                  <c:v>#N/A</c:v>
                </c:pt>
                <c:pt idx="85">
                  <c:v>#N/A</c:v>
                </c:pt>
                <c:pt idx="86">
                  <c:v>#N/A</c:v>
                </c:pt>
                <c:pt idx="87">
                  <c:v>#N/A</c:v>
                </c:pt>
                <c:pt idx="88">
                  <c:v>1</c:v>
                </c:pt>
                <c:pt idx="89">
                  <c:v>16</c:v>
                </c:pt>
                <c:pt idx="90">
                  <c:v>16</c:v>
                </c:pt>
                <c:pt idx="91">
                  <c:v>#N/A</c:v>
                </c:pt>
                <c:pt idx="92">
                  <c:v>#N/A</c:v>
                </c:pt>
                <c:pt idx="93">
                  <c:v>#N/A</c:v>
                </c:pt>
                <c:pt idx="94">
                  <c:v>#N/A</c:v>
                </c:pt>
                <c:pt idx="95">
                  <c:v>1</c:v>
                </c:pt>
                <c:pt idx="96">
                  <c:v>8</c:v>
                </c:pt>
                <c:pt idx="97">
                  <c:v>#N/A</c:v>
                </c:pt>
                <c:pt idx="98">
                  <c:v>256</c:v>
                </c:pt>
                <c:pt idx="99">
                  <c:v>#N/A</c:v>
                </c:pt>
                <c:pt idx="100">
                  <c:v>4</c:v>
                </c:pt>
                <c:pt idx="101">
                  <c:v>16</c:v>
                </c:pt>
                <c:pt idx="102">
                  <c:v>64</c:v>
                </c:pt>
                <c:pt idx="103">
                  <c:v>32</c:v>
                </c:pt>
                <c:pt idx="104">
                  <c:v>32</c:v>
                </c:pt>
                <c:pt idx="105">
                  <c:v>16</c:v>
                </c:pt>
                <c:pt idx="106">
                  <c:v>16</c:v>
                </c:pt>
                <c:pt idx="107">
                  <c:v>16</c:v>
                </c:pt>
                <c:pt idx="108">
                  <c:v>4</c:v>
                </c:pt>
                <c:pt idx="109">
                  <c:v>#N/A</c:v>
                </c:pt>
                <c:pt idx="110">
                  <c:v>256</c:v>
                </c:pt>
                <c:pt idx="111">
                  <c:v>16</c:v>
                </c:pt>
                <c:pt idx="112">
                  <c:v>#N/A</c:v>
                </c:pt>
                <c:pt idx="113">
                  <c:v>4</c:v>
                </c:pt>
                <c:pt idx="114">
                  <c:v>#N/A</c:v>
                </c:pt>
                <c:pt idx="115">
                  <c:v>#N/A</c:v>
                </c:pt>
                <c:pt idx="116">
                  <c:v>#N/A</c:v>
                </c:pt>
                <c:pt idx="117">
                  <c:v>#N/A</c:v>
                </c:pt>
                <c:pt idx="118">
                  <c:v>#N/A</c:v>
                </c:pt>
                <c:pt idx="119">
                  <c:v>#N/A</c:v>
                </c:pt>
                <c:pt idx="120">
                  <c:v>#N/A</c:v>
                </c:pt>
                <c:pt idx="121">
                  <c:v>#N/A</c:v>
                </c:pt>
                <c:pt idx="122">
                  <c:v>64</c:v>
                </c:pt>
                <c:pt idx="123">
                  <c:v>#N/A</c:v>
                </c:pt>
                <c:pt idx="124">
                  <c:v>16</c:v>
                </c:pt>
                <c:pt idx="125">
                  <c:v>16</c:v>
                </c:pt>
                <c:pt idx="126">
                  <c:v>64</c:v>
                </c:pt>
                <c:pt idx="127">
                  <c:v>4</c:v>
                </c:pt>
                <c:pt idx="128">
                  <c:v>4</c:v>
                </c:pt>
                <c:pt idx="129">
                  <c:v>1</c:v>
                </c:pt>
                <c:pt idx="130">
                  <c:v>1</c:v>
                </c:pt>
                <c:pt idx="131">
                  <c:v>144</c:v>
                </c:pt>
                <c:pt idx="132">
                  <c:v>#N/A</c:v>
                </c:pt>
                <c:pt idx="133">
                  <c:v>#N/A</c:v>
                </c:pt>
                <c:pt idx="134">
                  <c:v>#N/A</c:v>
                </c:pt>
                <c:pt idx="135">
                  <c:v>256</c:v>
                </c:pt>
                <c:pt idx="136">
                  <c:v>1</c:v>
                </c:pt>
                <c:pt idx="137">
                  <c:v>#N/A</c:v>
                </c:pt>
                <c:pt idx="138">
                  <c:v>#N/A</c:v>
                </c:pt>
                <c:pt idx="139">
                  <c:v>4</c:v>
                </c:pt>
                <c:pt idx="140">
                  <c:v>4</c:v>
                </c:pt>
                <c:pt idx="141">
                  <c:v>16</c:v>
                </c:pt>
                <c:pt idx="142">
                  <c:v>4</c:v>
                </c:pt>
                <c:pt idx="143">
                  <c:v>#N/A</c:v>
                </c:pt>
                <c:pt idx="144">
                  <c:v>63</c:v>
                </c:pt>
                <c:pt idx="145">
                  <c:v>#N/A</c:v>
                </c:pt>
              </c:numCache>
            </c:numRef>
          </c:xVal>
          <c:yVal>
            <c:numRef>
              <c:f>Plot_Data_Power!$P$2:$P$147</c:f>
              <c:numCache>
                <c:formatCode>General</c:formatCode>
                <c:ptCount val="146"/>
                <c:pt idx="0">
                  <c:v>#N/A</c:v>
                </c:pt>
                <c:pt idx="1">
                  <c:v>#N/A</c:v>
                </c:pt>
                <c:pt idx="2">
                  <c:v>#N/A</c:v>
                </c:pt>
                <c:pt idx="3">
                  <c:v>#N/A</c:v>
                </c:pt>
                <c:pt idx="4">
                  <c:v>0.61302681992337194</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2.8250750892455101</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1.4779720851621345</c:v>
                </c:pt>
                <c:pt idx="53">
                  <c:v>0.95012491188994352</c:v>
                </c:pt>
                <c:pt idx="54">
                  <c:v>#N/A</c:v>
                </c:pt>
                <c:pt idx="55">
                  <c:v>#N/A</c:v>
                </c:pt>
                <c:pt idx="56">
                  <c:v>2.8939169273376901</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2.9294594190142376</c:v>
                </c:pt>
                <c:pt idx="89">
                  <c:v>#N/A</c:v>
                </c:pt>
                <c:pt idx="90">
                  <c:v>#N/A</c:v>
                </c:pt>
                <c:pt idx="91">
                  <c:v>#N/A</c:v>
                </c:pt>
                <c:pt idx="92">
                  <c:v>#N/A</c:v>
                </c:pt>
                <c:pt idx="93">
                  <c:v>#N/A</c:v>
                </c:pt>
                <c:pt idx="94">
                  <c:v>#N/A</c:v>
                </c:pt>
                <c:pt idx="95">
                  <c:v>0.81649569053338422</c:v>
                </c:pt>
                <c:pt idx="96">
                  <c:v>4.3290043290043272</c:v>
                </c:pt>
                <c:pt idx="97">
                  <c:v>#N/A</c:v>
                </c:pt>
                <c:pt idx="98">
                  <c:v>5.9807290281551548</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0.3265306122448981</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2.5358291079377808E-2</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6-EF44-4A1B-B70A-F925C7497FAD}"/>
            </c:ext>
          </c:extLst>
        </c:ser>
        <c:ser>
          <c:idx val="5"/>
          <c:order val="5"/>
          <c:tx>
            <c:v>Prad/dc 170-260GHz</c:v>
          </c:tx>
          <c:spPr>
            <a:ln w="25400" cap="rnd">
              <a:noFill/>
              <a:round/>
            </a:ln>
            <a:effectLst/>
          </c:spPr>
          <c:marker>
            <c:symbol val="square"/>
            <c:size val="6"/>
            <c:spPr>
              <a:solidFill>
                <a:srgbClr val="FF66CC">
                  <a:alpha val="50000"/>
                </a:srgbClr>
              </a:solidFill>
              <a:ln w="9525">
                <a:noFill/>
              </a:ln>
              <a:effectLst/>
            </c:spPr>
          </c:marker>
          <c:xVal>
            <c:numRef>
              <c:f>Plot_Data_Power!$B$2:$B$147</c:f>
              <c:numCache>
                <c:formatCode>General</c:formatCode>
                <c:ptCount val="146"/>
                <c:pt idx="0">
                  <c:v>16</c:v>
                </c:pt>
                <c:pt idx="1">
                  <c:v>#N/A</c:v>
                </c:pt>
                <c:pt idx="2">
                  <c:v>#N/A</c:v>
                </c:pt>
                <c:pt idx="3">
                  <c:v>#N/A</c:v>
                </c:pt>
                <c:pt idx="4">
                  <c:v>16</c:v>
                </c:pt>
                <c:pt idx="5">
                  <c:v>#N/A</c:v>
                </c:pt>
                <c:pt idx="6">
                  <c:v>#N/A</c:v>
                </c:pt>
                <c:pt idx="7">
                  <c:v>#N/A</c:v>
                </c:pt>
                <c:pt idx="8">
                  <c:v>32</c:v>
                </c:pt>
                <c:pt idx="9">
                  <c:v>64</c:v>
                </c:pt>
                <c:pt idx="10">
                  <c:v>16</c:v>
                </c:pt>
                <c:pt idx="11">
                  <c:v>#N/A</c:v>
                </c:pt>
                <c:pt idx="12">
                  <c:v>16</c:v>
                </c:pt>
                <c:pt idx="13">
                  <c:v>#N/A</c:v>
                </c:pt>
                <c:pt idx="14">
                  <c:v>#N/A</c:v>
                </c:pt>
                <c:pt idx="15">
                  <c:v>4</c:v>
                </c:pt>
                <c:pt idx="16">
                  <c:v>#N/A</c:v>
                </c:pt>
                <c:pt idx="17">
                  <c:v>8</c:v>
                </c:pt>
                <c:pt idx="18">
                  <c:v>64</c:v>
                </c:pt>
                <c:pt idx="19">
                  <c:v>256</c:v>
                </c:pt>
                <c:pt idx="20">
                  <c:v>64</c:v>
                </c:pt>
                <c:pt idx="21">
                  <c:v>1</c:v>
                </c:pt>
                <c:pt idx="22">
                  <c:v>#N/A</c:v>
                </c:pt>
                <c:pt idx="23">
                  <c:v>#N/A</c:v>
                </c:pt>
                <c:pt idx="24">
                  <c:v>#N/A</c:v>
                </c:pt>
                <c:pt idx="25">
                  <c:v>1</c:v>
                </c:pt>
                <c:pt idx="26">
                  <c:v>#N/A</c:v>
                </c:pt>
                <c:pt idx="27">
                  <c:v>#N/A</c:v>
                </c:pt>
                <c:pt idx="28">
                  <c:v>24</c:v>
                </c:pt>
                <c:pt idx="29">
                  <c:v>144</c:v>
                </c:pt>
                <c:pt idx="30">
                  <c:v>#N/A</c:v>
                </c:pt>
                <c:pt idx="31">
                  <c:v>16</c:v>
                </c:pt>
                <c:pt idx="32">
                  <c:v>#N/A</c:v>
                </c:pt>
                <c:pt idx="33">
                  <c:v>64</c:v>
                </c:pt>
                <c:pt idx="34">
                  <c:v>64</c:v>
                </c:pt>
                <c:pt idx="35">
                  <c:v>#N/A</c:v>
                </c:pt>
                <c:pt idx="36">
                  <c:v>#N/A</c:v>
                </c:pt>
                <c:pt idx="37">
                  <c:v>1</c:v>
                </c:pt>
                <c:pt idx="38">
                  <c:v>#N/A</c:v>
                </c:pt>
                <c:pt idx="39">
                  <c:v>#N/A</c:v>
                </c:pt>
                <c:pt idx="40">
                  <c:v>64</c:v>
                </c:pt>
                <c:pt idx="41">
                  <c:v>1</c:v>
                </c:pt>
                <c:pt idx="42">
                  <c:v>#N/A</c:v>
                </c:pt>
                <c:pt idx="43">
                  <c:v>#N/A</c:v>
                </c:pt>
                <c:pt idx="44">
                  <c:v>64</c:v>
                </c:pt>
                <c:pt idx="45">
                  <c:v>256</c:v>
                </c:pt>
                <c:pt idx="46">
                  <c:v>64</c:v>
                </c:pt>
                <c:pt idx="47">
                  <c:v>36</c:v>
                </c:pt>
                <c:pt idx="48">
                  <c:v>16</c:v>
                </c:pt>
                <c:pt idx="49">
                  <c:v>#N/A</c:v>
                </c:pt>
                <c:pt idx="50">
                  <c:v>8</c:v>
                </c:pt>
                <c:pt idx="51">
                  <c:v>16</c:v>
                </c:pt>
                <c:pt idx="52">
                  <c:v>1</c:v>
                </c:pt>
                <c:pt idx="53">
                  <c:v>1</c:v>
                </c:pt>
                <c:pt idx="54">
                  <c:v>#N/A</c:v>
                </c:pt>
                <c:pt idx="55">
                  <c:v>1</c:v>
                </c:pt>
                <c:pt idx="56">
                  <c:v>128</c:v>
                </c:pt>
                <c:pt idx="57">
                  <c:v>#N/A</c:v>
                </c:pt>
                <c:pt idx="58">
                  <c:v>64</c:v>
                </c:pt>
                <c:pt idx="59">
                  <c:v>64</c:v>
                </c:pt>
                <c:pt idx="60">
                  <c:v>64</c:v>
                </c:pt>
                <c:pt idx="61">
                  <c:v>1</c:v>
                </c:pt>
                <c:pt idx="62">
                  <c:v>#N/A</c:v>
                </c:pt>
                <c:pt idx="63">
                  <c:v>#N/A</c:v>
                </c:pt>
                <c:pt idx="64">
                  <c:v>#N/A</c:v>
                </c:pt>
                <c:pt idx="65">
                  <c:v>#N/A</c:v>
                </c:pt>
                <c:pt idx="66">
                  <c:v>#N/A</c:v>
                </c:pt>
                <c:pt idx="67">
                  <c:v>2</c:v>
                </c:pt>
                <c:pt idx="68">
                  <c:v>1</c:v>
                </c:pt>
                <c:pt idx="69">
                  <c:v>#N/A</c:v>
                </c:pt>
                <c:pt idx="70">
                  <c:v>256</c:v>
                </c:pt>
                <c:pt idx="71">
                  <c:v>#N/A</c:v>
                </c:pt>
                <c:pt idx="72">
                  <c:v>#N/A</c:v>
                </c:pt>
                <c:pt idx="73">
                  <c:v>4</c:v>
                </c:pt>
                <c:pt idx="74">
                  <c:v>#N/A</c:v>
                </c:pt>
                <c:pt idx="75">
                  <c:v>#N/A</c:v>
                </c:pt>
                <c:pt idx="76">
                  <c:v>#N/A</c:v>
                </c:pt>
                <c:pt idx="77">
                  <c:v>#N/A</c:v>
                </c:pt>
                <c:pt idx="78">
                  <c:v>16</c:v>
                </c:pt>
                <c:pt idx="79">
                  <c:v>8</c:v>
                </c:pt>
                <c:pt idx="80">
                  <c:v>8</c:v>
                </c:pt>
                <c:pt idx="81">
                  <c:v>8</c:v>
                </c:pt>
                <c:pt idx="82">
                  <c:v>8</c:v>
                </c:pt>
                <c:pt idx="83">
                  <c:v>#N/A</c:v>
                </c:pt>
                <c:pt idx="84">
                  <c:v>#N/A</c:v>
                </c:pt>
                <c:pt idx="85">
                  <c:v>#N/A</c:v>
                </c:pt>
                <c:pt idx="86">
                  <c:v>#N/A</c:v>
                </c:pt>
                <c:pt idx="87">
                  <c:v>#N/A</c:v>
                </c:pt>
                <c:pt idx="88">
                  <c:v>1</c:v>
                </c:pt>
                <c:pt idx="89">
                  <c:v>16</c:v>
                </c:pt>
                <c:pt idx="90">
                  <c:v>16</c:v>
                </c:pt>
                <c:pt idx="91">
                  <c:v>#N/A</c:v>
                </c:pt>
                <c:pt idx="92">
                  <c:v>#N/A</c:v>
                </c:pt>
                <c:pt idx="93">
                  <c:v>#N/A</c:v>
                </c:pt>
                <c:pt idx="94">
                  <c:v>#N/A</c:v>
                </c:pt>
                <c:pt idx="95">
                  <c:v>1</c:v>
                </c:pt>
                <c:pt idx="96">
                  <c:v>8</c:v>
                </c:pt>
                <c:pt idx="97">
                  <c:v>#N/A</c:v>
                </c:pt>
                <c:pt idx="98">
                  <c:v>256</c:v>
                </c:pt>
                <c:pt idx="99">
                  <c:v>#N/A</c:v>
                </c:pt>
                <c:pt idx="100">
                  <c:v>4</c:v>
                </c:pt>
                <c:pt idx="101">
                  <c:v>16</c:v>
                </c:pt>
                <c:pt idx="102">
                  <c:v>64</c:v>
                </c:pt>
                <c:pt idx="103">
                  <c:v>32</c:v>
                </c:pt>
                <c:pt idx="104">
                  <c:v>32</c:v>
                </c:pt>
                <c:pt idx="105">
                  <c:v>16</c:v>
                </c:pt>
                <c:pt idx="106">
                  <c:v>16</c:v>
                </c:pt>
                <c:pt idx="107">
                  <c:v>16</c:v>
                </c:pt>
                <c:pt idx="108">
                  <c:v>4</c:v>
                </c:pt>
                <c:pt idx="109">
                  <c:v>#N/A</c:v>
                </c:pt>
                <c:pt idx="110">
                  <c:v>256</c:v>
                </c:pt>
                <c:pt idx="111">
                  <c:v>16</c:v>
                </c:pt>
                <c:pt idx="112">
                  <c:v>#N/A</c:v>
                </c:pt>
                <c:pt idx="113">
                  <c:v>4</c:v>
                </c:pt>
                <c:pt idx="114">
                  <c:v>#N/A</c:v>
                </c:pt>
                <c:pt idx="115">
                  <c:v>#N/A</c:v>
                </c:pt>
                <c:pt idx="116">
                  <c:v>#N/A</c:v>
                </c:pt>
                <c:pt idx="117">
                  <c:v>#N/A</c:v>
                </c:pt>
                <c:pt idx="118">
                  <c:v>#N/A</c:v>
                </c:pt>
                <c:pt idx="119">
                  <c:v>#N/A</c:v>
                </c:pt>
                <c:pt idx="120">
                  <c:v>#N/A</c:v>
                </c:pt>
                <c:pt idx="121">
                  <c:v>#N/A</c:v>
                </c:pt>
                <c:pt idx="122">
                  <c:v>64</c:v>
                </c:pt>
                <c:pt idx="123">
                  <c:v>#N/A</c:v>
                </c:pt>
                <c:pt idx="124">
                  <c:v>16</c:v>
                </c:pt>
                <c:pt idx="125">
                  <c:v>16</c:v>
                </c:pt>
                <c:pt idx="126">
                  <c:v>64</c:v>
                </c:pt>
                <c:pt idx="127">
                  <c:v>4</c:v>
                </c:pt>
                <c:pt idx="128">
                  <c:v>4</c:v>
                </c:pt>
                <c:pt idx="129">
                  <c:v>1</c:v>
                </c:pt>
                <c:pt idx="130">
                  <c:v>1</c:v>
                </c:pt>
                <c:pt idx="131">
                  <c:v>144</c:v>
                </c:pt>
                <c:pt idx="132">
                  <c:v>#N/A</c:v>
                </c:pt>
                <c:pt idx="133">
                  <c:v>#N/A</c:v>
                </c:pt>
                <c:pt idx="134">
                  <c:v>#N/A</c:v>
                </c:pt>
                <c:pt idx="135">
                  <c:v>256</c:v>
                </c:pt>
                <c:pt idx="136">
                  <c:v>1</c:v>
                </c:pt>
                <c:pt idx="137">
                  <c:v>#N/A</c:v>
                </c:pt>
                <c:pt idx="138">
                  <c:v>#N/A</c:v>
                </c:pt>
                <c:pt idx="139">
                  <c:v>4</c:v>
                </c:pt>
                <c:pt idx="140">
                  <c:v>4</c:v>
                </c:pt>
                <c:pt idx="141">
                  <c:v>16</c:v>
                </c:pt>
                <c:pt idx="142">
                  <c:v>4</c:v>
                </c:pt>
                <c:pt idx="143">
                  <c:v>#N/A</c:v>
                </c:pt>
                <c:pt idx="144">
                  <c:v>63</c:v>
                </c:pt>
                <c:pt idx="145">
                  <c:v>#N/A</c:v>
                </c:pt>
              </c:numCache>
            </c:numRef>
          </c:xVal>
          <c:yVal>
            <c:numRef>
              <c:f>Plot_Data_Power!$Q$2:$Q$147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0.54075389820491293</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7-EF44-4A1B-B70A-F925C7497FAD}"/>
            </c:ext>
          </c:extLst>
        </c:ser>
        <c:ser>
          <c:idx val="6"/>
          <c:order val="6"/>
          <c:tx>
            <c:v>Prad/dc &gt;260GHz</c:v>
          </c:tx>
          <c:spPr>
            <a:ln w="25400" cap="rnd">
              <a:noFill/>
              <a:round/>
            </a:ln>
            <a:effectLst/>
          </c:spPr>
          <c:marker>
            <c:symbol val="square"/>
            <c:size val="6"/>
            <c:spPr>
              <a:solidFill>
                <a:srgbClr val="002060">
                  <a:alpha val="50000"/>
                </a:srgbClr>
              </a:solidFill>
              <a:ln w="9525">
                <a:noFill/>
              </a:ln>
              <a:effectLst/>
            </c:spPr>
          </c:marker>
          <c:xVal>
            <c:numRef>
              <c:f>Plot_Data_Power!$B$2:$B$147</c:f>
              <c:numCache>
                <c:formatCode>General</c:formatCode>
                <c:ptCount val="146"/>
                <c:pt idx="0">
                  <c:v>16</c:v>
                </c:pt>
                <c:pt idx="1">
                  <c:v>#N/A</c:v>
                </c:pt>
                <c:pt idx="2">
                  <c:v>#N/A</c:v>
                </c:pt>
                <c:pt idx="3">
                  <c:v>#N/A</c:v>
                </c:pt>
                <c:pt idx="4">
                  <c:v>16</c:v>
                </c:pt>
                <c:pt idx="5">
                  <c:v>#N/A</c:v>
                </c:pt>
                <c:pt idx="6">
                  <c:v>#N/A</c:v>
                </c:pt>
                <c:pt idx="7">
                  <c:v>#N/A</c:v>
                </c:pt>
                <c:pt idx="8">
                  <c:v>32</c:v>
                </c:pt>
                <c:pt idx="9">
                  <c:v>64</c:v>
                </c:pt>
                <c:pt idx="10">
                  <c:v>16</c:v>
                </c:pt>
                <c:pt idx="11">
                  <c:v>#N/A</c:v>
                </c:pt>
                <c:pt idx="12">
                  <c:v>16</c:v>
                </c:pt>
                <c:pt idx="13">
                  <c:v>#N/A</c:v>
                </c:pt>
                <c:pt idx="14">
                  <c:v>#N/A</c:v>
                </c:pt>
                <c:pt idx="15">
                  <c:v>4</c:v>
                </c:pt>
                <c:pt idx="16">
                  <c:v>#N/A</c:v>
                </c:pt>
                <c:pt idx="17">
                  <c:v>8</c:v>
                </c:pt>
                <c:pt idx="18">
                  <c:v>64</c:v>
                </c:pt>
                <c:pt idx="19">
                  <c:v>256</c:v>
                </c:pt>
                <c:pt idx="20">
                  <c:v>64</c:v>
                </c:pt>
                <c:pt idx="21">
                  <c:v>1</c:v>
                </c:pt>
                <c:pt idx="22">
                  <c:v>#N/A</c:v>
                </c:pt>
                <c:pt idx="23">
                  <c:v>#N/A</c:v>
                </c:pt>
                <c:pt idx="24">
                  <c:v>#N/A</c:v>
                </c:pt>
                <c:pt idx="25">
                  <c:v>1</c:v>
                </c:pt>
                <c:pt idx="26">
                  <c:v>#N/A</c:v>
                </c:pt>
                <c:pt idx="27">
                  <c:v>#N/A</c:v>
                </c:pt>
                <c:pt idx="28">
                  <c:v>24</c:v>
                </c:pt>
                <c:pt idx="29">
                  <c:v>144</c:v>
                </c:pt>
                <c:pt idx="30">
                  <c:v>#N/A</c:v>
                </c:pt>
                <c:pt idx="31">
                  <c:v>16</c:v>
                </c:pt>
                <c:pt idx="32">
                  <c:v>#N/A</c:v>
                </c:pt>
                <c:pt idx="33">
                  <c:v>64</c:v>
                </c:pt>
                <c:pt idx="34">
                  <c:v>64</c:v>
                </c:pt>
                <c:pt idx="35">
                  <c:v>#N/A</c:v>
                </c:pt>
                <c:pt idx="36">
                  <c:v>#N/A</c:v>
                </c:pt>
                <c:pt idx="37">
                  <c:v>1</c:v>
                </c:pt>
                <c:pt idx="38">
                  <c:v>#N/A</c:v>
                </c:pt>
                <c:pt idx="39">
                  <c:v>#N/A</c:v>
                </c:pt>
                <c:pt idx="40">
                  <c:v>64</c:v>
                </c:pt>
                <c:pt idx="41">
                  <c:v>1</c:v>
                </c:pt>
                <c:pt idx="42">
                  <c:v>#N/A</c:v>
                </c:pt>
                <c:pt idx="43">
                  <c:v>#N/A</c:v>
                </c:pt>
                <c:pt idx="44">
                  <c:v>64</c:v>
                </c:pt>
                <c:pt idx="45">
                  <c:v>256</c:v>
                </c:pt>
                <c:pt idx="46">
                  <c:v>64</c:v>
                </c:pt>
                <c:pt idx="47">
                  <c:v>36</c:v>
                </c:pt>
                <c:pt idx="48">
                  <c:v>16</c:v>
                </c:pt>
                <c:pt idx="49">
                  <c:v>#N/A</c:v>
                </c:pt>
                <c:pt idx="50">
                  <c:v>8</c:v>
                </c:pt>
                <c:pt idx="51">
                  <c:v>16</c:v>
                </c:pt>
                <c:pt idx="52">
                  <c:v>1</c:v>
                </c:pt>
                <c:pt idx="53">
                  <c:v>1</c:v>
                </c:pt>
                <c:pt idx="54">
                  <c:v>#N/A</c:v>
                </c:pt>
                <c:pt idx="55">
                  <c:v>1</c:v>
                </c:pt>
                <c:pt idx="56">
                  <c:v>128</c:v>
                </c:pt>
                <c:pt idx="57">
                  <c:v>#N/A</c:v>
                </c:pt>
                <c:pt idx="58">
                  <c:v>64</c:v>
                </c:pt>
                <c:pt idx="59">
                  <c:v>64</c:v>
                </c:pt>
                <c:pt idx="60">
                  <c:v>64</c:v>
                </c:pt>
                <c:pt idx="61">
                  <c:v>1</c:v>
                </c:pt>
                <c:pt idx="62">
                  <c:v>#N/A</c:v>
                </c:pt>
                <c:pt idx="63">
                  <c:v>#N/A</c:v>
                </c:pt>
                <c:pt idx="64">
                  <c:v>#N/A</c:v>
                </c:pt>
                <c:pt idx="65">
                  <c:v>#N/A</c:v>
                </c:pt>
                <c:pt idx="66">
                  <c:v>#N/A</c:v>
                </c:pt>
                <c:pt idx="67">
                  <c:v>2</c:v>
                </c:pt>
                <c:pt idx="68">
                  <c:v>1</c:v>
                </c:pt>
                <c:pt idx="69">
                  <c:v>#N/A</c:v>
                </c:pt>
                <c:pt idx="70">
                  <c:v>256</c:v>
                </c:pt>
                <c:pt idx="71">
                  <c:v>#N/A</c:v>
                </c:pt>
                <c:pt idx="72">
                  <c:v>#N/A</c:v>
                </c:pt>
                <c:pt idx="73">
                  <c:v>4</c:v>
                </c:pt>
                <c:pt idx="74">
                  <c:v>#N/A</c:v>
                </c:pt>
                <c:pt idx="75">
                  <c:v>#N/A</c:v>
                </c:pt>
                <c:pt idx="76">
                  <c:v>#N/A</c:v>
                </c:pt>
                <c:pt idx="77">
                  <c:v>#N/A</c:v>
                </c:pt>
                <c:pt idx="78">
                  <c:v>16</c:v>
                </c:pt>
                <c:pt idx="79">
                  <c:v>8</c:v>
                </c:pt>
                <c:pt idx="80">
                  <c:v>8</c:v>
                </c:pt>
                <c:pt idx="81">
                  <c:v>8</c:v>
                </c:pt>
                <c:pt idx="82">
                  <c:v>8</c:v>
                </c:pt>
                <c:pt idx="83">
                  <c:v>#N/A</c:v>
                </c:pt>
                <c:pt idx="84">
                  <c:v>#N/A</c:v>
                </c:pt>
                <c:pt idx="85">
                  <c:v>#N/A</c:v>
                </c:pt>
                <c:pt idx="86">
                  <c:v>#N/A</c:v>
                </c:pt>
                <c:pt idx="87">
                  <c:v>#N/A</c:v>
                </c:pt>
                <c:pt idx="88">
                  <c:v>1</c:v>
                </c:pt>
                <c:pt idx="89">
                  <c:v>16</c:v>
                </c:pt>
                <c:pt idx="90">
                  <c:v>16</c:v>
                </c:pt>
                <c:pt idx="91">
                  <c:v>#N/A</c:v>
                </c:pt>
                <c:pt idx="92">
                  <c:v>#N/A</c:v>
                </c:pt>
                <c:pt idx="93">
                  <c:v>#N/A</c:v>
                </c:pt>
                <c:pt idx="94">
                  <c:v>#N/A</c:v>
                </c:pt>
                <c:pt idx="95">
                  <c:v>1</c:v>
                </c:pt>
                <c:pt idx="96">
                  <c:v>8</c:v>
                </c:pt>
                <c:pt idx="97">
                  <c:v>#N/A</c:v>
                </c:pt>
                <c:pt idx="98">
                  <c:v>256</c:v>
                </c:pt>
                <c:pt idx="99">
                  <c:v>#N/A</c:v>
                </c:pt>
                <c:pt idx="100">
                  <c:v>4</c:v>
                </c:pt>
                <c:pt idx="101">
                  <c:v>16</c:v>
                </c:pt>
                <c:pt idx="102">
                  <c:v>64</c:v>
                </c:pt>
                <c:pt idx="103">
                  <c:v>32</c:v>
                </c:pt>
                <c:pt idx="104">
                  <c:v>32</c:v>
                </c:pt>
                <c:pt idx="105">
                  <c:v>16</c:v>
                </c:pt>
                <c:pt idx="106">
                  <c:v>16</c:v>
                </c:pt>
                <c:pt idx="107">
                  <c:v>16</c:v>
                </c:pt>
                <c:pt idx="108">
                  <c:v>4</c:v>
                </c:pt>
                <c:pt idx="109">
                  <c:v>#N/A</c:v>
                </c:pt>
                <c:pt idx="110">
                  <c:v>256</c:v>
                </c:pt>
                <c:pt idx="111">
                  <c:v>16</c:v>
                </c:pt>
                <c:pt idx="112">
                  <c:v>#N/A</c:v>
                </c:pt>
                <c:pt idx="113">
                  <c:v>4</c:v>
                </c:pt>
                <c:pt idx="114">
                  <c:v>#N/A</c:v>
                </c:pt>
                <c:pt idx="115">
                  <c:v>#N/A</c:v>
                </c:pt>
                <c:pt idx="116">
                  <c:v>#N/A</c:v>
                </c:pt>
                <c:pt idx="117">
                  <c:v>#N/A</c:v>
                </c:pt>
                <c:pt idx="118">
                  <c:v>#N/A</c:v>
                </c:pt>
                <c:pt idx="119">
                  <c:v>#N/A</c:v>
                </c:pt>
                <c:pt idx="120">
                  <c:v>#N/A</c:v>
                </c:pt>
                <c:pt idx="121">
                  <c:v>#N/A</c:v>
                </c:pt>
                <c:pt idx="122">
                  <c:v>64</c:v>
                </c:pt>
                <c:pt idx="123">
                  <c:v>#N/A</c:v>
                </c:pt>
                <c:pt idx="124">
                  <c:v>16</c:v>
                </c:pt>
                <c:pt idx="125">
                  <c:v>16</c:v>
                </c:pt>
                <c:pt idx="126">
                  <c:v>64</c:v>
                </c:pt>
                <c:pt idx="127">
                  <c:v>4</c:v>
                </c:pt>
                <c:pt idx="128">
                  <c:v>4</c:v>
                </c:pt>
                <c:pt idx="129">
                  <c:v>1</c:v>
                </c:pt>
                <c:pt idx="130">
                  <c:v>1</c:v>
                </c:pt>
                <c:pt idx="131">
                  <c:v>144</c:v>
                </c:pt>
                <c:pt idx="132">
                  <c:v>#N/A</c:v>
                </c:pt>
                <c:pt idx="133">
                  <c:v>#N/A</c:v>
                </c:pt>
                <c:pt idx="134">
                  <c:v>#N/A</c:v>
                </c:pt>
                <c:pt idx="135">
                  <c:v>256</c:v>
                </c:pt>
                <c:pt idx="136">
                  <c:v>1</c:v>
                </c:pt>
                <c:pt idx="137">
                  <c:v>#N/A</c:v>
                </c:pt>
                <c:pt idx="138">
                  <c:v>#N/A</c:v>
                </c:pt>
                <c:pt idx="139">
                  <c:v>4</c:v>
                </c:pt>
                <c:pt idx="140">
                  <c:v>4</c:v>
                </c:pt>
                <c:pt idx="141">
                  <c:v>16</c:v>
                </c:pt>
                <c:pt idx="142">
                  <c:v>4</c:v>
                </c:pt>
                <c:pt idx="143">
                  <c:v>#N/A</c:v>
                </c:pt>
                <c:pt idx="144">
                  <c:v>63</c:v>
                </c:pt>
                <c:pt idx="145">
                  <c:v>#N/A</c:v>
                </c:pt>
              </c:numCache>
            </c:numRef>
          </c:xVal>
          <c:yVal>
            <c:numRef>
              <c:f>Plot_Data_Power!$R$2:$R$147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5.2781202348318124E-2</c:v>
                </c:pt>
                <c:pt idx="13">
                  <c:v>#N/A</c:v>
                </c:pt>
                <c:pt idx="14">
                  <c:v>#N/A</c:v>
                </c:pt>
                <c:pt idx="15">
                  <c:v>#N/A</c:v>
                </c:pt>
                <c:pt idx="16">
                  <c:v>#N/A</c:v>
                </c:pt>
                <c:pt idx="17">
                  <c:v>1.3333333333333336E-2</c:v>
                </c:pt>
                <c:pt idx="18">
                  <c:v>#N/A</c:v>
                </c:pt>
                <c:pt idx="19">
                  <c:v>#N/A</c:v>
                </c:pt>
                <c:pt idx="20">
                  <c:v>#N/A</c:v>
                </c:pt>
                <c:pt idx="21">
                  <c:v>0.10891473605909813</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3.8649774911672437E-2</c:v>
                </c:pt>
                <c:pt idx="42">
                  <c:v>#N/A</c:v>
                </c:pt>
                <c:pt idx="43">
                  <c:v>#N/A</c:v>
                </c:pt>
                <c:pt idx="44">
                  <c:v>#N/A</c:v>
                </c:pt>
                <c:pt idx="45">
                  <c:v>#N/A</c:v>
                </c:pt>
                <c:pt idx="46">
                  <c:v>0.19000000000000003</c:v>
                </c:pt>
                <c:pt idx="47">
                  <c:v>8.006987420037201E-2</c:v>
                </c:pt>
                <c:pt idx="48">
                  <c:v>9.8344931104413294E-2</c:v>
                </c:pt>
                <c:pt idx="49">
                  <c:v>#N/A</c:v>
                </c:pt>
                <c:pt idx="50">
                  <c:v>2.4620952012888955E-2</c:v>
                </c:pt>
                <c:pt idx="51">
                  <c:v>#N/A</c:v>
                </c:pt>
                <c:pt idx="52">
                  <c:v>#N/A</c:v>
                </c:pt>
                <c:pt idx="53">
                  <c:v>#N/A</c:v>
                </c:pt>
                <c:pt idx="54">
                  <c:v>#N/A</c:v>
                </c:pt>
                <c:pt idx="55">
                  <c:v>0.25298521957250925</c:v>
                </c:pt>
                <c:pt idx="56">
                  <c:v>#N/A</c:v>
                </c:pt>
                <c:pt idx="57">
                  <c:v>#N/A</c:v>
                </c:pt>
                <c:pt idx="58">
                  <c:v>#N/A</c:v>
                </c:pt>
                <c:pt idx="59">
                  <c:v>#N/A</c:v>
                </c:pt>
                <c:pt idx="60">
                  <c:v>#N/A</c:v>
                </c:pt>
                <c:pt idx="61">
                  <c:v>4.1412020124808116E-2</c:v>
                </c:pt>
                <c:pt idx="62">
                  <c:v>#N/A</c:v>
                </c:pt>
                <c:pt idx="63">
                  <c:v>#N/A</c:v>
                </c:pt>
                <c:pt idx="64">
                  <c:v>#N/A</c:v>
                </c:pt>
                <c:pt idx="65">
                  <c:v>#N/A</c:v>
                </c:pt>
                <c:pt idx="66">
                  <c:v>#N/A</c:v>
                </c:pt>
                <c:pt idx="67">
                  <c:v>5.8900762040876721E-2</c:v>
                </c:pt>
                <c:pt idx="68">
                  <c:v>#N/A</c:v>
                </c:pt>
                <c:pt idx="69">
                  <c:v>#N/A</c:v>
                </c:pt>
                <c:pt idx="70">
                  <c:v>#N/A</c:v>
                </c:pt>
                <c:pt idx="71">
                  <c:v>#N/A</c:v>
                </c:pt>
                <c:pt idx="72">
                  <c:v>#N/A</c:v>
                </c:pt>
                <c:pt idx="73">
                  <c:v>#N/A</c:v>
                </c:pt>
                <c:pt idx="74">
                  <c:v>#N/A</c:v>
                </c:pt>
                <c:pt idx="75">
                  <c:v>#N/A</c:v>
                </c:pt>
                <c:pt idx="76">
                  <c:v>#N/A</c:v>
                </c:pt>
                <c:pt idx="77">
                  <c:v>#N/A</c:v>
                </c:pt>
                <c:pt idx="78">
                  <c:v>0.13793374418519838</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6.296322030493369E-2</c:v>
                </c:pt>
                <c:pt idx="102">
                  <c:v>#N/A</c:v>
                </c:pt>
                <c:pt idx="103">
                  <c:v>#N/A</c:v>
                </c:pt>
                <c:pt idx="104">
                  <c:v>#N/A</c:v>
                </c:pt>
                <c:pt idx="105">
                  <c:v>#N/A</c:v>
                </c:pt>
                <c:pt idx="106">
                  <c:v>9.9491499634924915E-2</c:v>
                </c:pt>
                <c:pt idx="107">
                  <c:v>3.4564636801880842E-2</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8-EF44-4A1B-B70A-F925C7497FAD}"/>
            </c:ext>
          </c:extLst>
        </c:ser>
        <c:dLbls>
          <c:showLegendKey val="0"/>
          <c:showVal val="0"/>
          <c:showCatName val="0"/>
          <c:showSerName val="0"/>
          <c:showPercent val="0"/>
          <c:showBubbleSize val="0"/>
        </c:dLbls>
        <c:axId val="249305247"/>
        <c:axId val="249087183"/>
      </c:scatterChart>
      <c:scatterChart>
        <c:scatterStyle val="lineMarker"/>
        <c:varyColors val="0"/>
        <c:ser>
          <c:idx val="7"/>
          <c:order val="7"/>
          <c:tx>
            <c:v>EIRP/dc &lt;20GHz</c:v>
          </c:tx>
          <c:spPr>
            <a:ln w="25400" cap="rnd">
              <a:noFill/>
              <a:round/>
            </a:ln>
            <a:effectLst/>
          </c:spPr>
          <c:marker>
            <c:symbol val="circle"/>
            <c:size val="7"/>
            <c:spPr>
              <a:solidFill>
                <a:srgbClr val="FF0000">
                  <a:alpha val="50000"/>
                </a:srgbClr>
              </a:solidFill>
              <a:ln w="9525">
                <a:noFill/>
              </a:ln>
              <a:effectLst/>
            </c:spPr>
          </c:marker>
          <c:xVal>
            <c:strRef>
              <c:f>Data!$R$2:$R$152</c:f>
              <c:strCache>
                <c:ptCount val="147"/>
                <c:pt idx="0">
                  <c:v>16</c:v>
                </c:pt>
                <c:pt idx="1">
                  <c:v>36</c:v>
                </c:pt>
                <c:pt idx="8">
                  <c:v>32</c:v>
                </c:pt>
                <c:pt idx="12">
                  <c:v>16</c:v>
                </c:pt>
                <c:pt idx="13">
                  <c:v>16</c:v>
                </c:pt>
                <c:pt idx="14">
                  <c:v>16</c:v>
                </c:pt>
                <c:pt idx="17">
                  <c:v>8</c:v>
                </c:pt>
                <c:pt idx="18">
                  <c:v>64</c:v>
                </c:pt>
                <c:pt idx="19">
                  <c:v>256</c:v>
                </c:pt>
                <c:pt idx="23">
                  <c:v>1</c:v>
                </c:pt>
                <c:pt idx="28">
                  <c:v>8</c:v>
                </c:pt>
                <c:pt idx="29">
                  <c:v>144</c:v>
                </c:pt>
                <c:pt idx="33">
                  <c:v>64</c:v>
                </c:pt>
                <c:pt idx="37">
                  <c:v>2</c:v>
                </c:pt>
                <c:pt idx="40">
                  <c:v>64</c:v>
                </c:pt>
                <c:pt idx="44">
                  <c:v>64</c:v>
                </c:pt>
                <c:pt idx="45">
                  <c:v>384</c:v>
                </c:pt>
                <c:pt idx="46">
                  <c:v>1</c:v>
                </c:pt>
                <c:pt idx="47">
                  <c:v>36</c:v>
                </c:pt>
                <c:pt idx="48">
                  <c:v>16</c:v>
                </c:pt>
                <c:pt idx="50">
                  <c:v>8</c:v>
                </c:pt>
                <c:pt idx="51">
                  <c:v>16</c:v>
                </c:pt>
                <c:pt idx="58">
                  <c:v>32</c:v>
                </c:pt>
                <c:pt idx="59">
                  <c:v>64</c:v>
                </c:pt>
                <c:pt idx="60">
                  <c:v>64</c:v>
                </c:pt>
                <c:pt idx="61">
                  <c:v>1</c:v>
                </c:pt>
                <c:pt idx="63">
                  <c:v>1</c:v>
                </c:pt>
                <c:pt idx="65">
                  <c:v>2</c:v>
                </c:pt>
                <c:pt idx="70">
                  <c:v>256</c:v>
                </c:pt>
                <c:pt idx="76">
                  <c:v>1024</c:v>
                </c:pt>
                <c:pt idx="78">
                  <c:v>16</c:v>
                </c:pt>
                <c:pt idx="80">
                  <c:v>8</c:v>
                </c:pt>
                <c:pt idx="81">
                  <c:v>8</c:v>
                </c:pt>
                <c:pt idx="82">
                  <c:v>8</c:v>
                </c:pt>
                <c:pt idx="84">
                  <c:v>32</c:v>
                </c:pt>
                <c:pt idx="88">
                  <c:v>1</c:v>
                </c:pt>
                <c:pt idx="94">
                  <c:v>1</c:v>
                </c:pt>
                <c:pt idx="96">
                  <c:v>8</c:v>
                </c:pt>
                <c:pt idx="101">
                  <c:v>16</c:v>
                </c:pt>
                <c:pt idx="102">
                  <c:v>1024</c:v>
                </c:pt>
                <c:pt idx="103">
                  <c:v>32</c:v>
                </c:pt>
                <c:pt idx="104">
                  <c:v>32</c:v>
                </c:pt>
                <c:pt idx="105">
                  <c:v>16</c:v>
                </c:pt>
                <c:pt idx="106">
                  <c:v>16</c:v>
                </c:pt>
                <c:pt idx="107">
                  <c:v>16</c:v>
                </c:pt>
                <c:pt idx="110">
                  <c:v>256</c:v>
                </c:pt>
                <c:pt idx="111">
                  <c:v>16</c:v>
                </c:pt>
                <c:pt idx="122">
                  <c:v>64</c:v>
                </c:pt>
                <c:pt idx="124">
                  <c:v>16</c:v>
                </c:pt>
                <c:pt idx="125">
                  <c:v>16</c:v>
                </c:pt>
                <c:pt idx="126">
                  <c:v>64</c:v>
                </c:pt>
                <c:pt idx="131">
                  <c:v>144</c:v>
                </c:pt>
                <c:pt idx="135">
                  <c:v>256</c:v>
                </c:pt>
                <c:pt idx="141">
                  <c:v>8</c:v>
                </c:pt>
                <c:pt idx="144">
                  <c:v>64</c:v>
                </c:pt>
                <c:pt idx="146">
                  <c:v>16</c:v>
                </c:pt>
              </c:strCache>
            </c:strRef>
          </c:xVal>
          <c:yVal>
            <c:numRef>
              <c:f>Plot_Data_Power!$U$2:$U$147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5816.1926061323466</c:v>
                </c:pt>
                <c:pt idx="71">
                  <c:v>#N/A</c:v>
                </c:pt>
                <c:pt idx="72">
                  <c:v>#N/A</c:v>
                </c:pt>
                <c:pt idx="73">
                  <c:v>#N/A</c:v>
                </c:pt>
                <c:pt idx="74">
                  <c:v>#N/A</c:v>
                </c:pt>
                <c:pt idx="75">
                  <c:v>#N/A</c:v>
                </c:pt>
                <c:pt idx="76">
                  <c:v>7658.1903399682615</c:v>
                </c:pt>
                <c:pt idx="77">
                  <c:v>#N/A</c:v>
                </c:pt>
                <c:pt idx="78">
                  <c:v>#N/A</c:v>
                </c:pt>
                <c:pt idx="79">
                  <c:v>#N/A</c:v>
                </c:pt>
                <c:pt idx="80">
                  <c:v>25.059361681363633</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22843.295752983111</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1.0855973527873319</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9-EF44-4A1B-B70A-F925C7497FAD}"/>
            </c:ext>
          </c:extLst>
        </c:ser>
        <c:ser>
          <c:idx val="8"/>
          <c:order val="8"/>
          <c:tx>
            <c:v>EIRP/dc 20-50GHz</c:v>
          </c:tx>
          <c:spPr>
            <a:ln w="25400" cap="rnd">
              <a:noFill/>
              <a:round/>
            </a:ln>
            <a:effectLst/>
          </c:spPr>
          <c:marker>
            <c:symbol val="circle"/>
            <c:size val="7"/>
            <c:spPr>
              <a:solidFill>
                <a:schemeClr val="accent4">
                  <a:alpha val="50000"/>
                </a:schemeClr>
              </a:solidFill>
              <a:ln w="9525">
                <a:noFill/>
              </a:ln>
              <a:effectLst/>
            </c:spPr>
          </c:marker>
          <c:xVal>
            <c:strRef>
              <c:f>Data!$R$2:$R$152</c:f>
              <c:strCache>
                <c:ptCount val="147"/>
                <c:pt idx="0">
                  <c:v>16</c:v>
                </c:pt>
                <c:pt idx="1">
                  <c:v>36</c:v>
                </c:pt>
                <c:pt idx="8">
                  <c:v>32</c:v>
                </c:pt>
                <c:pt idx="12">
                  <c:v>16</c:v>
                </c:pt>
                <c:pt idx="13">
                  <c:v>16</c:v>
                </c:pt>
                <c:pt idx="14">
                  <c:v>16</c:v>
                </c:pt>
                <c:pt idx="17">
                  <c:v>8</c:v>
                </c:pt>
                <c:pt idx="18">
                  <c:v>64</c:v>
                </c:pt>
                <c:pt idx="19">
                  <c:v>256</c:v>
                </c:pt>
                <c:pt idx="23">
                  <c:v>1</c:v>
                </c:pt>
                <c:pt idx="28">
                  <c:v>8</c:v>
                </c:pt>
                <c:pt idx="29">
                  <c:v>144</c:v>
                </c:pt>
                <c:pt idx="33">
                  <c:v>64</c:v>
                </c:pt>
                <c:pt idx="37">
                  <c:v>2</c:v>
                </c:pt>
                <c:pt idx="40">
                  <c:v>64</c:v>
                </c:pt>
                <c:pt idx="44">
                  <c:v>64</c:v>
                </c:pt>
                <c:pt idx="45">
                  <c:v>384</c:v>
                </c:pt>
                <c:pt idx="46">
                  <c:v>1</c:v>
                </c:pt>
                <c:pt idx="47">
                  <c:v>36</c:v>
                </c:pt>
                <c:pt idx="48">
                  <c:v>16</c:v>
                </c:pt>
                <c:pt idx="50">
                  <c:v>8</c:v>
                </c:pt>
                <c:pt idx="51">
                  <c:v>16</c:v>
                </c:pt>
                <c:pt idx="58">
                  <c:v>32</c:v>
                </c:pt>
                <c:pt idx="59">
                  <c:v>64</c:v>
                </c:pt>
                <c:pt idx="60">
                  <c:v>64</c:v>
                </c:pt>
                <c:pt idx="61">
                  <c:v>1</c:v>
                </c:pt>
                <c:pt idx="63">
                  <c:v>1</c:v>
                </c:pt>
                <c:pt idx="65">
                  <c:v>2</c:v>
                </c:pt>
                <c:pt idx="70">
                  <c:v>256</c:v>
                </c:pt>
                <c:pt idx="76">
                  <c:v>1024</c:v>
                </c:pt>
                <c:pt idx="78">
                  <c:v>16</c:v>
                </c:pt>
                <c:pt idx="80">
                  <c:v>8</c:v>
                </c:pt>
                <c:pt idx="81">
                  <c:v>8</c:v>
                </c:pt>
                <c:pt idx="82">
                  <c:v>8</c:v>
                </c:pt>
                <c:pt idx="84">
                  <c:v>32</c:v>
                </c:pt>
                <c:pt idx="88">
                  <c:v>1</c:v>
                </c:pt>
                <c:pt idx="94">
                  <c:v>1</c:v>
                </c:pt>
                <c:pt idx="96">
                  <c:v>8</c:v>
                </c:pt>
                <c:pt idx="101">
                  <c:v>16</c:v>
                </c:pt>
                <c:pt idx="102">
                  <c:v>1024</c:v>
                </c:pt>
                <c:pt idx="103">
                  <c:v>32</c:v>
                </c:pt>
                <c:pt idx="104">
                  <c:v>32</c:v>
                </c:pt>
                <c:pt idx="105">
                  <c:v>16</c:v>
                </c:pt>
                <c:pt idx="106">
                  <c:v>16</c:v>
                </c:pt>
                <c:pt idx="107">
                  <c:v>16</c:v>
                </c:pt>
                <c:pt idx="110">
                  <c:v>256</c:v>
                </c:pt>
                <c:pt idx="111">
                  <c:v>16</c:v>
                </c:pt>
                <c:pt idx="122">
                  <c:v>64</c:v>
                </c:pt>
                <c:pt idx="124">
                  <c:v>16</c:v>
                </c:pt>
                <c:pt idx="125">
                  <c:v>16</c:v>
                </c:pt>
                <c:pt idx="126">
                  <c:v>64</c:v>
                </c:pt>
                <c:pt idx="131">
                  <c:v>144</c:v>
                </c:pt>
                <c:pt idx="135">
                  <c:v>256</c:v>
                </c:pt>
                <c:pt idx="141">
                  <c:v>8</c:v>
                </c:pt>
                <c:pt idx="144">
                  <c:v>64</c:v>
                </c:pt>
                <c:pt idx="146">
                  <c:v>16</c:v>
                </c:pt>
              </c:strCache>
            </c:strRef>
          </c:xVal>
          <c:yVal>
            <c:numRef>
              <c:f>Plot_Data_Power!$V$2:$V$147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146.40174352631391</c:v>
                </c:pt>
                <c:pt idx="29">
                  <c:v>#N/A</c:v>
                </c:pt>
                <c:pt idx="30">
                  <c:v>#N/A</c:v>
                </c:pt>
                <c:pt idx="31">
                  <c:v>#N/A</c:v>
                </c:pt>
                <c:pt idx="32">
                  <c:v>#N/A</c:v>
                </c:pt>
                <c:pt idx="33">
                  <c:v>1125.6343696456793</c:v>
                </c:pt>
                <c:pt idx="34">
                  <c:v>#N/A</c:v>
                </c:pt>
                <c:pt idx="35">
                  <c:v>#N/A</c:v>
                </c:pt>
                <c:pt idx="36">
                  <c:v>#N/A</c:v>
                </c:pt>
                <c:pt idx="37">
                  <c:v>#N/A</c:v>
                </c:pt>
                <c:pt idx="38">
                  <c:v>#N/A</c:v>
                </c:pt>
                <c:pt idx="39">
                  <c:v>#N/A</c:v>
                </c:pt>
                <c:pt idx="40">
                  <c:v>#N/A</c:v>
                </c:pt>
                <c:pt idx="41">
                  <c:v>#N/A</c:v>
                </c:pt>
                <c:pt idx="42">
                  <c:v>#N/A</c:v>
                </c:pt>
                <c:pt idx="43">
                  <c:v>#N/A</c:v>
                </c:pt>
                <c:pt idx="44">
                  <c:v>831.35929790370062</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225.12280181677971</c:v>
                </c:pt>
                <c:pt idx="59">
                  <c:v>#N/A</c:v>
                </c:pt>
                <c:pt idx="60">
                  <c:v>1387.8454597435748</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125.59432157547906</c:v>
                </c:pt>
                <c:pt idx="82">
                  <c:v>#N/A</c:v>
                </c:pt>
                <c:pt idx="83">
                  <c:v>#N/A</c:v>
                </c:pt>
                <c:pt idx="84">
                  <c:v>65.724723383353464</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362.18911400583494</c:v>
                </c:pt>
                <c:pt idx="104">
                  <c:v>362.18911400583494</c:v>
                </c:pt>
                <c:pt idx="105">
                  <c:v>484.20208145929502</c:v>
                </c:pt>
                <c:pt idx="106">
                  <c:v>#N/A</c:v>
                </c:pt>
                <c:pt idx="107">
                  <c:v>#N/A</c:v>
                </c:pt>
                <c:pt idx="108">
                  <c:v>#N/A</c:v>
                </c:pt>
                <c:pt idx="109">
                  <c:v>#N/A</c:v>
                </c:pt>
                <c:pt idx="110">
                  <c:v>12862.38707093274</c:v>
                </c:pt>
                <c:pt idx="111">
                  <c:v>#N/A</c:v>
                </c:pt>
                <c:pt idx="112">
                  <c:v>#N/A</c:v>
                </c:pt>
                <c:pt idx="113">
                  <c:v>#N/A</c:v>
                </c:pt>
                <c:pt idx="114">
                  <c:v>#N/A</c:v>
                </c:pt>
                <c:pt idx="115">
                  <c:v>#N/A</c:v>
                </c:pt>
                <c:pt idx="116">
                  <c:v>#N/A</c:v>
                </c:pt>
                <c:pt idx="117">
                  <c:v>#N/A</c:v>
                </c:pt>
                <c:pt idx="118">
                  <c:v>#N/A</c:v>
                </c:pt>
                <c:pt idx="119">
                  <c:v>#N/A</c:v>
                </c:pt>
                <c:pt idx="120">
                  <c:v>#N/A</c:v>
                </c:pt>
                <c:pt idx="121">
                  <c:v>#N/A</c:v>
                </c:pt>
                <c:pt idx="122">
                  <c:v>5517.285062776773</c:v>
                </c:pt>
                <c:pt idx="123">
                  <c:v>#N/A</c:v>
                </c:pt>
                <c:pt idx="124">
                  <c:v>#N/A</c:v>
                </c:pt>
                <c:pt idx="125">
                  <c:v>184.36088135003604</c:v>
                </c:pt>
                <c:pt idx="126">
                  <c:v>1287.0457147177851</c:v>
                </c:pt>
                <c:pt idx="127">
                  <c:v>#N/A</c:v>
                </c:pt>
                <c:pt idx="128">
                  <c:v>#N/A</c:v>
                </c:pt>
                <c:pt idx="129">
                  <c:v>#N/A</c:v>
                </c:pt>
                <c:pt idx="130">
                  <c:v>#N/A</c:v>
                </c:pt>
                <c:pt idx="131">
                  <c:v>#N/A</c:v>
                </c:pt>
                <c:pt idx="132">
                  <c:v>#N/A</c:v>
                </c:pt>
                <c:pt idx="133">
                  <c:v>#N/A</c:v>
                </c:pt>
                <c:pt idx="134">
                  <c:v>#N/A</c:v>
                </c:pt>
                <c:pt idx="135">
                  <c:v>9018.1688684943347</c:v>
                </c:pt>
                <c:pt idx="136">
                  <c:v>#N/A</c:v>
                </c:pt>
                <c:pt idx="137">
                  <c:v>#N/A</c:v>
                </c:pt>
                <c:pt idx="138">
                  <c:v>#N/A</c:v>
                </c:pt>
                <c:pt idx="139">
                  <c:v>#N/A</c:v>
                </c:pt>
                <c:pt idx="140">
                  <c:v>#N/A</c:v>
                </c:pt>
                <c:pt idx="141">
                  <c:v>22.321428571428569</c:v>
                </c:pt>
                <c:pt idx="142">
                  <c:v>#N/A</c:v>
                </c:pt>
                <c:pt idx="143">
                  <c:v>#N/A</c:v>
                </c:pt>
                <c:pt idx="144">
                  <c:v>#N/A</c:v>
                </c:pt>
                <c:pt idx="145">
                  <c:v>#N/A</c:v>
                </c:pt>
              </c:numCache>
            </c:numRef>
          </c:yVal>
          <c:smooth val="0"/>
          <c:extLst>
            <c:ext xmlns:c16="http://schemas.microsoft.com/office/drawing/2014/chart" uri="{C3380CC4-5D6E-409C-BE32-E72D297353CC}">
              <c16:uniqueId val="{0000000A-EF44-4A1B-B70A-F925C7497FAD}"/>
            </c:ext>
          </c:extLst>
        </c:ser>
        <c:ser>
          <c:idx val="9"/>
          <c:order val="9"/>
          <c:tx>
            <c:v>EIRP/dc 50-75GHz</c:v>
          </c:tx>
          <c:spPr>
            <a:ln w="25400" cap="rnd">
              <a:noFill/>
              <a:round/>
            </a:ln>
            <a:effectLst/>
          </c:spPr>
          <c:marker>
            <c:symbol val="circle"/>
            <c:size val="7"/>
            <c:spPr>
              <a:solidFill>
                <a:srgbClr val="00B050">
                  <a:alpha val="50000"/>
                </a:srgbClr>
              </a:solidFill>
              <a:ln w="9525">
                <a:noFill/>
              </a:ln>
              <a:effectLst/>
            </c:spPr>
          </c:marker>
          <c:xVal>
            <c:strRef>
              <c:f>Data!$R$2:$R$152</c:f>
              <c:strCache>
                <c:ptCount val="147"/>
                <c:pt idx="0">
                  <c:v>16</c:v>
                </c:pt>
                <c:pt idx="1">
                  <c:v>36</c:v>
                </c:pt>
                <c:pt idx="8">
                  <c:v>32</c:v>
                </c:pt>
                <c:pt idx="12">
                  <c:v>16</c:v>
                </c:pt>
                <c:pt idx="13">
                  <c:v>16</c:v>
                </c:pt>
                <c:pt idx="14">
                  <c:v>16</c:v>
                </c:pt>
                <c:pt idx="17">
                  <c:v>8</c:v>
                </c:pt>
                <c:pt idx="18">
                  <c:v>64</c:v>
                </c:pt>
                <c:pt idx="19">
                  <c:v>256</c:v>
                </c:pt>
                <c:pt idx="23">
                  <c:v>1</c:v>
                </c:pt>
                <c:pt idx="28">
                  <c:v>8</c:v>
                </c:pt>
                <c:pt idx="29">
                  <c:v>144</c:v>
                </c:pt>
                <c:pt idx="33">
                  <c:v>64</c:v>
                </c:pt>
                <c:pt idx="37">
                  <c:v>2</c:v>
                </c:pt>
                <c:pt idx="40">
                  <c:v>64</c:v>
                </c:pt>
                <c:pt idx="44">
                  <c:v>64</c:v>
                </c:pt>
                <c:pt idx="45">
                  <c:v>384</c:v>
                </c:pt>
                <c:pt idx="46">
                  <c:v>1</c:v>
                </c:pt>
                <c:pt idx="47">
                  <c:v>36</c:v>
                </c:pt>
                <c:pt idx="48">
                  <c:v>16</c:v>
                </c:pt>
                <c:pt idx="50">
                  <c:v>8</c:v>
                </c:pt>
                <c:pt idx="51">
                  <c:v>16</c:v>
                </c:pt>
                <c:pt idx="58">
                  <c:v>32</c:v>
                </c:pt>
                <c:pt idx="59">
                  <c:v>64</c:v>
                </c:pt>
                <c:pt idx="60">
                  <c:v>64</c:v>
                </c:pt>
                <c:pt idx="61">
                  <c:v>1</c:v>
                </c:pt>
                <c:pt idx="63">
                  <c:v>1</c:v>
                </c:pt>
                <c:pt idx="65">
                  <c:v>2</c:v>
                </c:pt>
                <c:pt idx="70">
                  <c:v>256</c:v>
                </c:pt>
                <c:pt idx="76">
                  <c:v>1024</c:v>
                </c:pt>
                <c:pt idx="78">
                  <c:v>16</c:v>
                </c:pt>
                <c:pt idx="80">
                  <c:v>8</c:v>
                </c:pt>
                <c:pt idx="81">
                  <c:v>8</c:v>
                </c:pt>
                <c:pt idx="82">
                  <c:v>8</c:v>
                </c:pt>
                <c:pt idx="84">
                  <c:v>32</c:v>
                </c:pt>
                <c:pt idx="88">
                  <c:v>1</c:v>
                </c:pt>
                <c:pt idx="94">
                  <c:v>1</c:v>
                </c:pt>
                <c:pt idx="96">
                  <c:v>8</c:v>
                </c:pt>
                <c:pt idx="101">
                  <c:v>16</c:v>
                </c:pt>
                <c:pt idx="102">
                  <c:v>1024</c:v>
                </c:pt>
                <c:pt idx="103">
                  <c:v>32</c:v>
                </c:pt>
                <c:pt idx="104">
                  <c:v>32</c:v>
                </c:pt>
                <c:pt idx="105">
                  <c:v>16</c:v>
                </c:pt>
                <c:pt idx="106">
                  <c:v>16</c:v>
                </c:pt>
                <c:pt idx="107">
                  <c:v>16</c:v>
                </c:pt>
                <c:pt idx="110">
                  <c:v>256</c:v>
                </c:pt>
                <c:pt idx="111">
                  <c:v>16</c:v>
                </c:pt>
                <c:pt idx="122">
                  <c:v>64</c:v>
                </c:pt>
                <c:pt idx="124">
                  <c:v>16</c:v>
                </c:pt>
                <c:pt idx="125">
                  <c:v>16</c:v>
                </c:pt>
                <c:pt idx="126">
                  <c:v>64</c:v>
                </c:pt>
                <c:pt idx="131">
                  <c:v>144</c:v>
                </c:pt>
                <c:pt idx="135">
                  <c:v>256</c:v>
                </c:pt>
                <c:pt idx="141">
                  <c:v>8</c:v>
                </c:pt>
                <c:pt idx="144">
                  <c:v>64</c:v>
                </c:pt>
                <c:pt idx="146">
                  <c:v>16</c:v>
                </c:pt>
              </c:strCache>
            </c:strRef>
          </c:xVal>
          <c:yVal>
            <c:numRef>
              <c:f>Plot_Data_Power!$W$2:$W$147</c:f>
              <c:numCache>
                <c:formatCode>General</c:formatCode>
                <c:ptCount val="146"/>
                <c:pt idx="0">
                  <c:v>417.07715591081967</c:v>
                </c:pt>
                <c:pt idx="1">
                  <c:v>34.667985960450174</c:v>
                </c:pt>
                <c:pt idx="2">
                  <c:v>#N/A</c:v>
                </c:pt>
                <c:pt idx="3">
                  <c:v>#N/A</c:v>
                </c:pt>
                <c:pt idx="4">
                  <c:v>#N/A</c:v>
                </c:pt>
                <c:pt idx="5">
                  <c:v>#N/A</c:v>
                </c:pt>
                <c:pt idx="6">
                  <c:v>#N/A</c:v>
                </c:pt>
                <c:pt idx="7">
                  <c:v>#N/A</c:v>
                </c:pt>
                <c:pt idx="8">
                  <c:v>132.07443270509299</c:v>
                </c:pt>
                <c:pt idx="9">
                  <c:v>#N/A</c:v>
                </c:pt>
                <c:pt idx="10">
                  <c:v>#N/A</c:v>
                </c:pt>
                <c:pt idx="11">
                  <c:v>#N/A</c:v>
                </c:pt>
                <c:pt idx="12">
                  <c:v>#N/A</c:v>
                </c:pt>
                <c:pt idx="13">
                  <c:v>42.116574254392667</c:v>
                </c:pt>
                <c:pt idx="14">
                  <c:v>45.67066239108329</c:v>
                </c:pt>
                <c:pt idx="15">
                  <c:v>#N/A</c:v>
                </c:pt>
                <c:pt idx="16">
                  <c:v>#N/A</c:v>
                </c:pt>
                <c:pt idx="17">
                  <c:v>#N/A</c:v>
                </c:pt>
                <c:pt idx="18">
                  <c:v>90.136763497170563</c:v>
                </c:pt>
                <c:pt idx="19">
                  <c:v>98.821176880262001</c:v>
                </c:pt>
                <c:pt idx="20">
                  <c:v>#N/A</c:v>
                </c:pt>
                <c:pt idx="21">
                  <c:v>#N/A</c:v>
                </c:pt>
                <c:pt idx="22">
                  <c:v>#N/A</c:v>
                </c:pt>
                <c:pt idx="23">
                  <c:v>#N/A</c:v>
                </c:pt>
                <c:pt idx="24">
                  <c:v>#N/A</c:v>
                </c:pt>
                <c:pt idx="25">
                  <c:v>#N/A</c:v>
                </c:pt>
                <c:pt idx="26">
                  <c:v>#N/A</c:v>
                </c:pt>
                <c:pt idx="27">
                  <c:v>#N/A</c:v>
                </c:pt>
                <c:pt idx="28">
                  <c:v>#N/A</c:v>
                </c:pt>
                <c:pt idx="29">
                  <c:v>1498.7207283263911</c:v>
                </c:pt>
                <c:pt idx="30">
                  <c:v>#N/A</c:v>
                </c:pt>
                <c:pt idx="31">
                  <c:v>#N/A</c:v>
                </c:pt>
                <c:pt idx="32">
                  <c:v>#N/A</c:v>
                </c:pt>
                <c:pt idx="33">
                  <c:v>#N/A</c:v>
                </c:pt>
                <c:pt idx="34">
                  <c:v>#N/A</c:v>
                </c:pt>
                <c:pt idx="35">
                  <c:v>#N/A</c:v>
                </c:pt>
                <c:pt idx="36">
                  <c:v>#N/A</c:v>
                </c:pt>
                <c:pt idx="37">
                  <c:v>#N/A</c:v>
                </c:pt>
                <c:pt idx="38">
                  <c:v>#N/A</c:v>
                </c:pt>
                <c:pt idx="39">
                  <c:v>#N/A</c:v>
                </c:pt>
                <c:pt idx="40">
                  <c:v>290.77583438958692</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99.763115748444022</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B-EF44-4A1B-B70A-F925C7497FAD}"/>
            </c:ext>
          </c:extLst>
        </c:ser>
        <c:ser>
          <c:idx val="10"/>
          <c:order val="10"/>
          <c:tx>
            <c:v>EIRP/dc 75-110GHz</c:v>
          </c:tx>
          <c:spPr>
            <a:ln w="25400" cap="rnd">
              <a:noFill/>
              <a:round/>
            </a:ln>
            <a:effectLst/>
          </c:spPr>
          <c:marker>
            <c:symbol val="circle"/>
            <c:size val="7"/>
            <c:spPr>
              <a:solidFill>
                <a:srgbClr val="7030A0">
                  <a:alpha val="50000"/>
                </a:srgbClr>
              </a:solidFill>
              <a:ln w="9525">
                <a:noFill/>
              </a:ln>
              <a:effectLst/>
            </c:spPr>
          </c:marker>
          <c:xVal>
            <c:strRef>
              <c:f>Data!$R$2:$R$152</c:f>
              <c:strCache>
                <c:ptCount val="147"/>
                <c:pt idx="0">
                  <c:v>16</c:v>
                </c:pt>
                <c:pt idx="1">
                  <c:v>36</c:v>
                </c:pt>
                <c:pt idx="8">
                  <c:v>32</c:v>
                </c:pt>
                <c:pt idx="12">
                  <c:v>16</c:v>
                </c:pt>
                <c:pt idx="13">
                  <c:v>16</c:v>
                </c:pt>
                <c:pt idx="14">
                  <c:v>16</c:v>
                </c:pt>
                <c:pt idx="17">
                  <c:v>8</c:v>
                </c:pt>
                <c:pt idx="18">
                  <c:v>64</c:v>
                </c:pt>
                <c:pt idx="19">
                  <c:v>256</c:v>
                </c:pt>
                <c:pt idx="23">
                  <c:v>1</c:v>
                </c:pt>
                <c:pt idx="28">
                  <c:v>8</c:v>
                </c:pt>
                <c:pt idx="29">
                  <c:v>144</c:v>
                </c:pt>
                <c:pt idx="33">
                  <c:v>64</c:v>
                </c:pt>
                <c:pt idx="37">
                  <c:v>2</c:v>
                </c:pt>
                <c:pt idx="40">
                  <c:v>64</c:v>
                </c:pt>
                <c:pt idx="44">
                  <c:v>64</c:v>
                </c:pt>
                <c:pt idx="45">
                  <c:v>384</c:v>
                </c:pt>
                <c:pt idx="46">
                  <c:v>1</c:v>
                </c:pt>
                <c:pt idx="47">
                  <c:v>36</c:v>
                </c:pt>
                <c:pt idx="48">
                  <c:v>16</c:v>
                </c:pt>
                <c:pt idx="50">
                  <c:v>8</c:v>
                </c:pt>
                <c:pt idx="51">
                  <c:v>16</c:v>
                </c:pt>
                <c:pt idx="58">
                  <c:v>32</c:v>
                </c:pt>
                <c:pt idx="59">
                  <c:v>64</c:v>
                </c:pt>
                <c:pt idx="60">
                  <c:v>64</c:v>
                </c:pt>
                <c:pt idx="61">
                  <c:v>1</c:v>
                </c:pt>
                <c:pt idx="63">
                  <c:v>1</c:v>
                </c:pt>
                <c:pt idx="65">
                  <c:v>2</c:v>
                </c:pt>
                <c:pt idx="70">
                  <c:v>256</c:v>
                </c:pt>
                <c:pt idx="76">
                  <c:v>1024</c:v>
                </c:pt>
                <c:pt idx="78">
                  <c:v>16</c:v>
                </c:pt>
                <c:pt idx="80">
                  <c:v>8</c:v>
                </c:pt>
                <c:pt idx="81">
                  <c:v>8</c:v>
                </c:pt>
                <c:pt idx="82">
                  <c:v>8</c:v>
                </c:pt>
                <c:pt idx="84">
                  <c:v>32</c:v>
                </c:pt>
                <c:pt idx="88">
                  <c:v>1</c:v>
                </c:pt>
                <c:pt idx="94">
                  <c:v>1</c:v>
                </c:pt>
                <c:pt idx="96">
                  <c:v>8</c:v>
                </c:pt>
                <c:pt idx="101">
                  <c:v>16</c:v>
                </c:pt>
                <c:pt idx="102">
                  <c:v>1024</c:v>
                </c:pt>
                <c:pt idx="103">
                  <c:v>32</c:v>
                </c:pt>
                <c:pt idx="104">
                  <c:v>32</c:v>
                </c:pt>
                <c:pt idx="105">
                  <c:v>16</c:v>
                </c:pt>
                <c:pt idx="106">
                  <c:v>16</c:v>
                </c:pt>
                <c:pt idx="107">
                  <c:v>16</c:v>
                </c:pt>
                <c:pt idx="110">
                  <c:v>256</c:v>
                </c:pt>
                <c:pt idx="111">
                  <c:v>16</c:v>
                </c:pt>
                <c:pt idx="122">
                  <c:v>64</c:v>
                </c:pt>
                <c:pt idx="124">
                  <c:v>16</c:v>
                </c:pt>
                <c:pt idx="125">
                  <c:v>16</c:v>
                </c:pt>
                <c:pt idx="126">
                  <c:v>64</c:v>
                </c:pt>
                <c:pt idx="131">
                  <c:v>144</c:v>
                </c:pt>
                <c:pt idx="135">
                  <c:v>256</c:v>
                </c:pt>
                <c:pt idx="141">
                  <c:v>8</c:v>
                </c:pt>
                <c:pt idx="144">
                  <c:v>64</c:v>
                </c:pt>
                <c:pt idx="146">
                  <c:v>16</c:v>
                </c:pt>
              </c:strCache>
            </c:strRef>
          </c:xVal>
          <c:yVal>
            <c:numRef>
              <c:f>Plot_Data_Power!$X$2:$X$147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1420.4545454545453</c:v>
                </c:pt>
                <c:pt idx="46">
                  <c:v>#N/A</c:v>
                </c:pt>
                <c:pt idx="47">
                  <c:v>#N/A</c:v>
                </c:pt>
                <c:pt idx="48">
                  <c:v>#N/A</c:v>
                </c:pt>
                <c:pt idx="49">
                  <c:v>#N/A</c:v>
                </c:pt>
                <c:pt idx="50">
                  <c:v>#N/A</c:v>
                </c:pt>
                <c:pt idx="51">
                  <c:v>25</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C-EF44-4A1B-B70A-F925C7497FAD}"/>
            </c:ext>
          </c:extLst>
        </c:ser>
        <c:ser>
          <c:idx val="11"/>
          <c:order val="11"/>
          <c:tx>
            <c:v>EIRP/dc 110-170GHz</c:v>
          </c:tx>
          <c:spPr>
            <a:ln w="25400" cap="rnd">
              <a:noFill/>
              <a:round/>
            </a:ln>
            <a:effectLst/>
          </c:spPr>
          <c:marker>
            <c:symbol val="circle"/>
            <c:size val="7"/>
            <c:spPr>
              <a:solidFill>
                <a:srgbClr val="7030A0">
                  <a:alpha val="50000"/>
                </a:srgbClr>
              </a:solidFill>
              <a:ln w="9525">
                <a:noFill/>
              </a:ln>
              <a:effectLst/>
            </c:spPr>
          </c:marker>
          <c:xVal>
            <c:strRef>
              <c:f>Data!$R$2:$R$152</c:f>
              <c:strCache>
                <c:ptCount val="147"/>
                <c:pt idx="0">
                  <c:v>16</c:v>
                </c:pt>
                <c:pt idx="1">
                  <c:v>36</c:v>
                </c:pt>
                <c:pt idx="8">
                  <c:v>32</c:v>
                </c:pt>
                <c:pt idx="12">
                  <c:v>16</c:v>
                </c:pt>
                <c:pt idx="13">
                  <c:v>16</c:v>
                </c:pt>
                <c:pt idx="14">
                  <c:v>16</c:v>
                </c:pt>
                <c:pt idx="17">
                  <c:v>8</c:v>
                </c:pt>
                <c:pt idx="18">
                  <c:v>64</c:v>
                </c:pt>
                <c:pt idx="19">
                  <c:v>256</c:v>
                </c:pt>
                <c:pt idx="23">
                  <c:v>1</c:v>
                </c:pt>
                <c:pt idx="28">
                  <c:v>8</c:v>
                </c:pt>
                <c:pt idx="29">
                  <c:v>144</c:v>
                </c:pt>
                <c:pt idx="33">
                  <c:v>64</c:v>
                </c:pt>
                <c:pt idx="37">
                  <c:v>2</c:v>
                </c:pt>
                <c:pt idx="40">
                  <c:v>64</c:v>
                </c:pt>
                <c:pt idx="44">
                  <c:v>64</c:v>
                </c:pt>
                <c:pt idx="45">
                  <c:v>384</c:v>
                </c:pt>
                <c:pt idx="46">
                  <c:v>1</c:v>
                </c:pt>
                <c:pt idx="47">
                  <c:v>36</c:v>
                </c:pt>
                <c:pt idx="48">
                  <c:v>16</c:v>
                </c:pt>
                <c:pt idx="50">
                  <c:v>8</c:v>
                </c:pt>
                <c:pt idx="51">
                  <c:v>16</c:v>
                </c:pt>
                <c:pt idx="58">
                  <c:v>32</c:v>
                </c:pt>
                <c:pt idx="59">
                  <c:v>64</c:v>
                </c:pt>
                <c:pt idx="60">
                  <c:v>64</c:v>
                </c:pt>
                <c:pt idx="61">
                  <c:v>1</c:v>
                </c:pt>
                <c:pt idx="63">
                  <c:v>1</c:v>
                </c:pt>
                <c:pt idx="65">
                  <c:v>2</c:v>
                </c:pt>
                <c:pt idx="70">
                  <c:v>256</c:v>
                </c:pt>
                <c:pt idx="76">
                  <c:v>1024</c:v>
                </c:pt>
                <c:pt idx="78">
                  <c:v>16</c:v>
                </c:pt>
                <c:pt idx="80">
                  <c:v>8</c:v>
                </c:pt>
                <c:pt idx="81">
                  <c:v>8</c:v>
                </c:pt>
                <c:pt idx="82">
                  <c:v>8</c:v>
                </c:pt>
                <c:pt idx="84">
                  <c:v>32</c:v>
                </c:pt>
                <c:pt idx="88">
                  <c:v>1</c:v>
                </c:pt>
                <c:pt idx="94">
                  <c:v>1</c:v>
                </c:pt>
                <c:pt idx="96">
                  <c:v>8</c:v>
                </c:pt>
                <c:pt idx="101">
                  <c:v>16</c:v>
                </c:pt>
                <c:pt idx="102">
                  <c:v>1024</c:v>
                </c:pt>
                <c:pt idx="103">
                  <c:v>32</c:v>
                </c:pt>
                <c:pt idx="104">
                  <c:v>32</c:v>
                </c:pt>
                <c:pt idx="105">
                  <c:v>16</c:v>
                </c:pt>
                <c:pt idx="106">
                  <c:v>16</c:v>
                </c:pt>
                <c:pt idx="107">
                  <c:v>16</c:v>
                </c:pt>
                <c:pt idx="110">
                  <c:v>256</c:v>
                </c:pt>
                <c:pt idx="111">
                  <c:v>16</c:v>
                </c:pt>
                <c:pt idx="122">
                  <c:v>64</c:v>
                </c:pt>
                <c:pt idx="124">
                  <c:v>16</c:v>
                </c:pt>
                <c:pt idx="125">
                  <c:v>16</c:v>
                </c:pt>
                <c:pt idx="126">
                  <c:v>64</c:v>
                </c:pt>
                <c:pt idx="131">
                  <c:v>144</c:v>
                </c:pt>
                <c:pt idx="135">
                  <c:v>256</c:v>
                </c:pt>
                <c:pt idx="141">
                  <c:v>8</c:v>
                </c:pt>
                <c:pt idx="144">
                  <c:v>64</c:v>
                </c:pt>
                <c:pt idx="146">
                  <c:v>16</c:v>
                </c:pt>
              </c:strCache>
            </c:strRef>
          </c:xVal>
          <c:yVal>
            <c:numRef>
              <c:f>Plot_Data_Power!$Y$2:$Y$147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2.8250750892455088</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73.584693662798088</c:v>
                </c:pt>
                <c:pt idx="89">
                  <c:v>#N/A</c:v>
                </c:pt>
                <c:pt idx="90">
                  <c:v>#N/A</c:v>
                </c:pt>
                <c:pt idx="91">
                  <c:v>#N/A</c:v>
                </c:pt>
                <c:pt idx="92">
                  <c:v>#N/A</c:v>
                </c:pt>
                <c:pt idx="93">
                  <c:v>#N/A</c:v>
                </c:pt>
                <c:pt idx="94">
                  <c:v>#N/A</c:v>
                </c:pt>
                <c:pt idx="95">
                  <c:v>#N/A</c:v>
                </c:pt>
                <c:pt idx="96">
                  <c:v>85.762618639670748</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8.1246361337448487</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D-EF44-4A1B-B70A-F925C7497FAD}"/>
            </c:ext>
          </c:extLst>
        </c:ser>
        <c:ser>
          <c:idx val="12"/>
          <c:order val="12"/>
          <c:tx>
            <c:v>EIRP/dc 170-260GHz</c:v>
          </c:tx>
          <c:spPr>
            <a:ln w="25400" cap="rnd">
              <a:noFill/>
              <a:round/>
            </a:ln>
            <a:effectLst/>
          </c:spPr>
          <c:marker>
            <c:symbol val="circle"/>
            <c:size val="7"/>
            <c:spPr>
              <a:solidFill>
                <a:srgbClr val="FF66CC">
                  <a:alpha val="50000"/>
                </a:srgbClr>
              </a:solidFill>
              <a:ln w="9525">
                <a:noFill/>
              </a:ln>
              <a:effectLst/>
            </c:spPr>
          </c:marker>
          <c:xVal>
            <c:strRef>
              <c:f>Data!$R$2:$R$152</c:f>
              <c:strCache>
                <c:ptCount val="147"/>
                <c:pt idx="0">
                  <c:v>16</c:v>
                </c:pt>
                <c:pt idx="1">
                  <c:v>36</c:v>
                </c:pt>
                <c:pt idx="8">
                  <c:v>32</c:v>
                </c:pt>
                <c:pt idx="12">
                  <c:v>16</c:v>
                </c:pt>
                <c:pt idx="13">
                  <c:v>16</c:v>
                </c:pt>
                <c:pt idx="14">
                  <c:v>16</c:v>
                </c:pt>
                <c:pt idx="17">
                  <c:v>8</c:v>
                </c:pt>
                <c:pt idx="18">
                  <c:v>64</c:v>
                </c:pt>
                <c:pt idx="19">
                  <c:v>256</c:v>
                </c:pt>
                <c:pt idx="23">
                  <c:v>1</c:v>
                </c:pt>
                <c:pt idx="28">
                  <c:v>8</c:v>
                </c:pt>
                <c:pt idx="29">
                  <c:v>144</c:v>
                </c:pt>
                <c:pt idx="33">
                  <c:v>64</c:v>
                </c:pt>
                <c:pt idx="37">
                  <c:v>2</c:v>
                </c:pt>
                <c:pt idx="40">
                  <c:v>64</c:v>
                </c:pt>
                <c:pt idx="44">
                  <c:v>64</c:v>
                </c:pt>
                <c:pt idx="45">
                  <c:v>384</c:v>
                </c:pt>
                <c:pt idx="46">
                  <c:v>1</c:v>
                </c:pt>
                <c:pt idx="47">
                  <c:v>36</c:v>
                </c:pt>
                <c:pt idx="48">
                  <c:v>16</c:v>
                </c:pt>
                <c:pt idx="50">
                  <c:v>8</c:v>
                </c:pt>
                <c:pt idx="51">
                  <c:v>16</c:v>
                </c:pt>
                <c:pt idx="58">
                  <c:v>32</c:v>
                </c:pt>
                <c:pt idx="59">
                  <c:v>64</c:v>
                </c:pt>
                <c:pt idx="60">
                  <c:v>64</c:v>
                </c:pt>
                <c:pt idx="61">
                  <c:v>1</c:v>
                </c:pt>
                <c:pt idx="63">
                  <c:v>1</c:v>
                </c:pt>
                <c:pt idx="65">
                  <c:v>2</c:v>
                </c:pt>
                <c:pt idx="70">
                  <c:v>256</c:v>
                </c:pt>
                <c:pt idx="76">
                  <c:v>1024</c:v>
                </c:pt>
                <c:pt idx="78">
                  <c:v>16</c:v>
                </c:pt>
                <c:pt idx="80">
                  <c:v>8</c:v>
                </c:pt>
                <c:pt idx="81">
                  <c:v>8</c:v>
                </c:pt>
                <c:pt idx="82">
                  <c:v>8</c:v>
                </c:pt>
                <c:pt idx="84">
                  <c:v>32</c:v>
                </c:pt>
                <c:pt idx="88">
                  <c:v>1</c:v>
                </c:pt>
                <c:pt idx="94">
                  <c:v>1</c:v>
                </c:pt>
                <c:pt idx="96">
                  <c:v>8</c:v>
                </c:pt>
                <c:pt idx="101">
                  <c:v>16</c:v>
                </c:pt>
                <c:pt idx="102">
                  <c:v>1024</c:v>
                </c:pt>
                <c:pt idx="103">
                  <c:v>32</c:v>
                </c:pt>
                <c:pt idx="104">
                  <c:v>32</c:v>
                </c:pt>
                <c:pt idx="105">
                  <c:v>16</c:v>
                </c:pt>
                <c:pt idx="106">
                  <c:v>16</c:v>
                </c:pt>
                <c:pt idx="107">
                  <c:v>16</c:v>
                </c:pt>
                <c:pt idx="110">
                  <c:v>256</c:v>
                </c:pt>
                <c:pt idx="111">
                  <c:v>16</c:v>
                </c:pt>
                <c:pt idx="122">
                  <c:v>64</c:v>
                </c:pt>
                <c:pt idx="124">
                  <c:v>16</c:v>
                </c:pt>
                <c:pt idx="125">
                  <c:v>16</c:v>
                </c:pt>
                <c:pt idx="126">
                  <c:v>64</c:v>
                </c:pt>
                <c:pt idx="131">
                  <c:v>144</c:v>
                </c:pt>
                <c:pt idx="135">
                  <c:v>256</c:v>
                </c:pt>
                <c:pt idx="141">
                  <c:v>8</c:v>
                </c:pt>
                <c:pt idx="144">
                  <c:v>64</c:v>
                </c:pt>
                <c:pt idx="146">
                  <c:v>16</c:v>
                </c:pt>
              </c:strCache>
            </c:strRef>
          </c:xVal>
          <c:yVal>
            <c:numRef>
              <c:f>Plot_Data_Power!$Z$2:$Z$147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73.704004945187123</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E-EF44-4A1B-B70A-F925C7497FAD}"/>
            </c:ext>
          </c:extLst>
        </c:ser>
        <c:ser>
          <c:idx val="13"/>
          <c:order val="13"/>
          <c:tx>
            <c:v>EIRP/dc &gt;260GHz</c:v>
          </c:tx>
          <c:spPr>
            <a:ln w="25400" cap="rnd">
              <a:noFill/>
              <a:round/>
            </a:ln>
            <a:effectLst/>
          </c:spPr>
          <c:marker>
            <c:symbol val="circle"/>
            <c:size val="7"/>
            <c:spPr>
              <a:solidFill>
                <a:srgbClr val="002060">
                  <a:alpha val="50000"/>
                </a:srgbClr>
              </a:solidFill>
              <a:ln w="9525">
                <a:noFill/>
              </a:ln>
              <a:effectLst/>
            </c:spPr>
          </c:marker>
          <c:xVal>
            <c:strRef>
              <c:f>Data!$R$2:$R$152</c:f>
              <c:strCache>
                <c:ptCount val="147"/>
                <c:pt idx="0">
                  <c:v>16</c:v>
                </c:pt>
                <c:pt idx="1">
                  <c:v>36</c:v>
                </c:pt>
                <c:pt idx="8">
                  <c:v>32</c:v>
                </c:pt>
                <c:pt idx="12">
                  <c:v>16</c:v>
                </c:pt>
                <c:pt idx="13">
                  <c:v>16</c:v>
                </c:pt>
                <c:pt idx="14">
                  <c:v>16</c:v>
                </c:pt>
                <c:pt idx="17">
                  <c:v>8</c:v>
                </c:pt>
                <c:pt idx="18">
                  <c:v>64</c:v>
                </c:pt>
                <c:pt idx="19">
                  <c:v>256</c:v>
                </c:pt>
                <c:pt idx="23">
                  <c:v>1</c:v>
                </c:pt>
                <c:pt idx="28">
                  <c:v>8</c:v>
                </c:pt>
                <c:pt idx="29">
                  <c:v>144</c:v>
                </c:pt>
                <c:pt idx="33">
                  <c:v>64</c:v>
                </c:pt>
                <c:pt idx="37">
                  <c:v>2</c:v>
                </c:pt>
                <c:pt idx="40">
                  <c:v>64</c:v>
                </c:pt>
                <c:pt idx="44">
                  <c:v>64</c:v>
                </c:pt>
                <c:pt idx="45">
                  <c:v>384</c:v>
                </c:pt>
                <c:pt idx="46">
                  <c:v>1</c:v>
                </c:pt>
                <c:pt idx="47">
                  <c:v>36</c:v>
                </c:pt>
                <c:pt idx="48">
                  <c:v>16</c:v>
                </c:pt>
                <c:pt idx="50">
                  <c:v>8</c:v>
                </c:pt>
                <c:pt idx="51">
                  <c:v>16</c:v>
                </c:pt>
                <c:pt idx="58">
                  <c:v>32</c:v>
                </c:pt>
                <c:pt idx="59">
                  <c:v>64</c:v>
                </c:pt>
                <c:pt idx="60">
                  <c:v>64</c:v>
                </c:pt>
                <c:pt idx="61">
                  <c:v>1</c:v>
                </c:pt>
                <c:pt idx="63">
                  <c:v>1</c:v>
                </c:pt>
                <c:pt idx="65">
                  <c:v>2</c:v>
                </c:pt>
                <c:pt idx="70">
                  <c:v>256</c:v>
                </c:pt>
                <c:pt idx="76">
                  <c:v>1024</c:v>
                </c:pt>
                <c:pt idx="78">
                  <c:v>16</c:v>
                </c:pt>
                <c:pt idx="80">
                  <c:v>8</c:v>
                </c:pt>
                <c:pt idx="81">
                  <c:v>8</c:v>
                </c:pt>
                <c:pt idx="82">
                  <c:v>8</c:v>
                </c:pt>
                <c:pt idx="84">
                  <c:v>32</c:v>
                </c:pt>
                <c:pt idx="88">
                  <c:v>1</c:v>
                </c:pt>
                <c:pt idx="94">
                  <c:v>1</c:v>
                </c:pt>
                <c:pt idx="96">
                  <c:v>8</c:v>
                </c:pt>
                <c:pt idx="101">
                  <c:v>16</c:v>
                </c:pt>
                <c:pt idx="102">
                  <c:v>1024</c:v>
                </c:pt>
                <c:pt idx="103">
                  <c:v>32</c:v>
                </c:pt>
                <c:pt idx="104">
                  <c:v>32</c:v>
                </c:pt>
                <c:pt idx="105">
                  <c:v>16</c:v>
                </c:pt>
                <c:pt idx="106">
                  <c:v>16</c:v>
                </c:pt>
                <c:pt idx="107">
                  <c:v>16</c:v>
                </c:pt>
                <c:pt idx="110">
                  <c:v>256</c:v>
                </c:pt>
                <c:pt idx="111">
                  <c:v>16</c:v>
                </c:pt>
                <c:pt idx="122">
                  <c:v>64</c:v>
                </c:pt>
                <c:pt idx="124">
                  <c:v>16</c:v>
                </c:pt>
                <c:pt idx="125">
                  <c:v>16</c:v>
                </c:pt>
                <c:pt idx="126">
                  <c:v>64</c:v>
                </c:pt>
                <c:pt idx="131">
                  <c:v>144</c:v>
                </c:pt>
                <c:pt idx="135">
                  <c:v>256</c:v>
                </c:pt>
                <c:pt idx="141">
                  <c:v>8</c:v>
                </c:pt>
                <c:pt idx="144">
                  <c:v>64</c:v>
                </c:pt>
                <c:pt idx="146">
                  <c:v>16</c:v>
                </c:pt>
              </c:strCache>
            </c:strRef>
          </c:xVal>
          <c:yVal>
            <c:numRef>
              <c:f>Plot_Data_Power!$AA$2:$AA$147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3.3302687272166578</c:v>
                </c:pt>
                <c:pt idx="13">
                  <c:v>#N/A</c:v>
                </c:pt>
                <c:pt idx="14">
                  <c:v>#N/A</c:v>
                </c:pt>
                <c:pt idx="15">
                  <c:v>#N/A</c:v>
                </c:pt>
                <c:pt idx="16">
                  <c:v>#N/A</c:v>
                </c:pt>
                <c:pt idx="17">
                  <c:v>0.42063822965346231</c:v>
                </c:pt>
                <c:pt idx="18">
                  <c:v>#N/A</c:v>
                </c:pt>
                <c:pt idx="19">
                  <c:v>#N/A</c:v>
                </c:pt>
                <c:pt idx="20">
                  <c:v>#N/A</c:v>
                </c:pt>
                <c:pt idx="21">
                  <c:v>#N/A</c:v>
                </c:pt>
                <c:pt idx="22">
                  <c:v>#N/A</c:v>
                </c:pt>
                <c:pt idx="23">
                  <c:v>0.38012690709831665</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43.526485402587717</c:v>
                </c:pt>
                <c:pt idx="47">
                  <c:v>20.112643057659358</c:v>
                </c:pt>
                <c:pt idx="48">
                  <c:v>1.7323354700066067</c:v>
                </c:pt>
                <c:pt idx="49">
                  <c:v>#N/A</c:v>
                </c:pt>
                <c:pt idx="50">
                  <c:v>5.144045977847191</c:v>
                </c:pt>
                <c:pt idx="51">
                  <c:v>#N/A</c:v>
                </c:pt>
                <c:pt idx="52">
                  <c:v>#N/A</c:v>
                </c:pt>
                <c:pt idx="53">
                  <c:v>#N/A</c:v>
                </c:pt>
                <c:pt idx="54">
                  <c:v>#N/A</c:v>
                </c:pt>
                <c:pt idx="55">
                  <c:v>#N/A</c:v>
                </c:pt>
                <c:pt idx="56">
                  <c:v>#N/A</c:v>
                </c:pt>
                <c:pt idx="57">
                  <c:v>#N/A</c:v>
                </c:pt>
                <c:pt idx="58">
                  <c:v>#N/A</c:v>
                </c:pt>
                <c:pt idx="59">
                  <c:v>#N/A</c:v>
                </c:pt>
                <c:pt idx="60">
                  <c:v>#N/A</c:v>
                </c:pt>
                <c:pt idx="61">
                  <c:v>3.2894736842105261</c:v>
                </c:pt>
                <c:pt idx="62">
                  <c:v>#N/A</c:v>
                </c:pt>
                <c:pt idx="63">
                  <c:v>#N/A</c:v>
                </c:pt>
                <c:pt idx="64">
                  <c:v>#N/A</c:v>
                </c:pt>
                <c:pt idx="65">
                  <c:v>0.21389987420800871</c:v>
                </c:pt>
                <c:pt idx="66">
                  <c:v>#N/A</c:v>
                </c:pt>
                <c:pt idx="67">
                  <c:v>#N/A</c:v>
                </c:pt>
                <c:pt idx="68">
                  <c:v>#N/A</c:v>
                </c:pt>
                <c:pt idx="69">
                  <c:v>#N/A</c:v>
                </c:pt>
                <c:pt idx="70">
                  <c:v>#N/A</c:v>
                </c:pt>
                <c:pt idx="71">
                  <c:v>#N/A</c:v>
                </c:pt>
                <c:pt idx="72">
                  <c:v>#N/A</c:v>
                </c:pt>
                <c:pt idx="73">
                  <c:v>#N/A</c:v>
                </c:pt>
                <c:pt idx="74">
                  <c:v>#N/A</c:v>
                </c:pt>
                <c:pt idx="75">
                  <c:v>#N/A</c:v>
                </c:pt>
                <c:pt idx="76">
                  <c:v>#N/A</c:v>
                </c:pt>
                <c:pt idx="77">
                  <c:v>#N/A</c:v>
                </c:pt>
                <c:pt idx="78">
                  <c:v>190.40157003100765</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5.2061024726219443E-2</c:v>
                </c:pt>
                <c:pt idx="95">
                  <c:v>#N/A</c:v>
                </c:pt>
                <c:pt idx="96">
                  <c:v>#N/A</c:v>
                </c:pt>
                <c:pt idx="97">
                  <c:v>#N/A</c:v>
                </c:pt>
                <c:pt idx="98">
                  <c:v>#N/A</c:v>
                </c:pt>
                <c:pt idx="99">
                  <c:v>#N/A</c:v>
                </c:pt>
                <c:pt idx="100">
                  <c:v>#N/A</c:v>
                </c:pt>
                <c:pt idx="101">
                  <c:v>67.466306076664949</c:v>
                </c:pt>
                <c:pt idx="102">
                  <c:v>#N/A</c:v>
                </c:pt>
                <c:pt idx="103">
                  <c:v>#N/A</c:v>
                </c:pt>
                <c:pt idx="104">
                  <c:v>#N/A</c:v>
                </c:pt>
                <c:pt idx="105">
                  <c:v>#N/A</c:v>
                </c:pt>
                <c:pt idx="106">
                  <c:v>233.2308403235825</c:v>
                </c:pt>
                <c:pt idx="107">
                  <c:v>1.7323354700066067</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F-EF44-4A1B-B70A-F925C7497FAD}"/>
            </c:ext>
          </c:extLst>
        </c:ser>
        <c:dLbls>
          <c:showLegendKey val="0"/>
          <c:showVal val="0"/>
          <c:showCatName val="0"/>
          <c:showSerName val="0"/>
          <c:showPercent val="0"/>
          <c:showBubbleSize val="0"/>
        </c:dLbls>
        <c:axId val="397126703"/>
        <c:axId val="397128623"/>
      </c:scatterChart>
      <c:valAx>
        <c:axId val="249305247"/>
        <c:scaling>
          <c:orientation val="minMax"/>
        </c:scaling>
        <c:delete val="0"/>
        <c:axPos val="b"/>
        <c:majorGridlines>
          <c:spPr>
            <a:ln w="158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 of TX</a:t>
                </a:r>
                <a:r>
                  <a:rPr lang="en-US" baseline="0"/>
                  <a:t> </a:t>
                </a:r>
                <a:r>
                  <a:rPr lang="en-US"/>
                  <a:t>Elements</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087183"/>
        <c:crosses val="autoZero"/>
        <c:crossBetween val="midCat"/>
      </c:valAx>
      <c:valAx>
        <c:axId val="249087183"/>
        <c:scaling>
          <c:logBase val="10"/>
          <c:orientation val="minMax"/>
          <c:max val="100000"/>
        </c:scaling>
        <c:delete val="0"/>
        <c:axPos val="l"/>
        <c:majorGridlines>
          <c:spPr>
            <a:ln w="158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Ptx_array_total</a:t>
                </a:r>
                <a:r>
                  <a:rPr lang="en-US" baseline="0"/>
                  <a:t> / Pdc (%)</a:t>
                </a:r>
                <a:endParaRPr lang="en-US"/>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305247"/>
        <c:crosses val="autoZero"/>
        <c:crossBetween val="midCat"/>
      </c:valAx>
      <c:valAx>
        <c:axId val="397128623"/>
        <c:scaling>
          <c:logBase val="10"/>
          <c:orientation val="minMax"/>
        </c:scaling>
        <c:delete val="0"/>
        <c:axPos val="r"/>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EIRP/Pdc (%)</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397126703"/>
        <c:crosses val="max"/>
        <c:crossBetween val="midCat"/>
      </c:valAx>
      <c:valAx>
        <c:axId val="397126703"/>
        <c:scaling>
          <c:orientation val="minMax"/>
        </c:scaling>
        <c:delete val="1"/>
        <c:axPos val="t"/>
        <c:majorTickMark val="out"/>
        <c:minorTickMark val="none"/>
        <c:tickLblPos val="nextTo"/>
        <c:crossAx val="397128623"/>
        <c:crosses val="max"/>
        <c:crossBetween val="midCat"/>
      </c:valAx>
      <c:spPr>
        <a:noFill/>
        <a:ln w="19050">
          <a:solidFill>
            <a:schemeClr val="tx1"/>
          </a:solidFill>
        </a:ln>
        <a:effectLst/>
      </c:spPr>
    </c:plotArea>
    <c:legend>
      <c:legendPos val="r"/>
      <c:layout>
        <c:manualLayout>
          <c:xMode val="edge"/>
          <c:yMode val="edge"/>
          <c:x val="0.81470836978710992"/>
          <c:y val="2.8067148883384876E-2"/>
          <c:w val="0.17603237095363081"/>
          <c:h val="0.92482539839014644"/>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r>
              <a:rPr lang="en-US"/>
              <a:t>Thermal</a:t>
            </a:r>
            <a:r>
              <a:rPr lang="en-US" baseline="0"/>
              <a:t> Density vs. Frequency</a:t>
            </a:r>
            <a:endParaRPr lang="en-US"/>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endParaRPr lang="en-CH"/>
        </a:p>
      </c:txPr>
    </c:title>
    <c:autoTitleDeleted val="0"/>
    <c:plotArea>
      <c:layout>
        <c:manualLayout>
          <c:layoutTarget val="inner"/>
          <c:xMode val="edge"/>
          <c:yMode val="edge"/>
          <c:x val="0.14921300160060638"/>
          <c:y val="0.1655132371066812"/>
          <c:w val="0.72356958711379349"/>
          <c:h val="0.62126968928366488"/>
        </c:manualLayout>
      </c:layout>
      <c:scatterChart>
        <c:scatterStyle val="lineMarker"/>
        <c:varyColors val="0"/>
        <c:ser>
          <c:idx val="0"/>
          <c:order val="0"/>
          <c:tx>
            <c:v>Chip</c:v>
          </c:tx>
          <c:spPr>
            <a:ln w="25400" cap="rnd">
              <a:noFill/>
              <a:round/>
            </a:ln>
            <a:effectLst/>
          </c:spPr>
          <c:marker>
            <c:symbol val="circle"/>
            <c:size val="7"/>
            <c:spPr>
              <a:solidFill>
                <a:srgbClr val="0000FF"/>
              </a:solidFill>
              <a:ln w="12700">
                <a:solidFill>
                  <a:schemeClr val="tx1"/>
                </a:solid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Plot_Data_Power!$AN$2:$AN$147</c:f>
              <c:numCache>
                <c:formatCode>General</c:formatCode>
                <c:ptCount val="146"/>
                <c:pt idx="0">
                  <c:v>8.6609686609686598</c:v>
                </c:pt>
                <c:pt idx="1">
                  <c:v>2.504334424966288</c:v>
                </c:pt>
                <c:pt idx="2">
                  <c:v>1.6201111525859564</c:v>
                </c:pt>
                <c:pt idx="3">
                  <c:v>4.7750424448217306</c:v>
                </c:pt>
                <c:pt idx="4">
                  <c:v>6.8008598788352543</c:v>
                </c:pt>
                <c:pt idx="5">
                  <c:v>#N/A</c:v>
                </c:pt>
                <c:pt idx="6">
                  <c:v>#N/A</c:v>
                </c:pt>
                <c:pt idx="7">
                  <c:v>#N/A</c:v>
                </c:pt>
                <c:pt idx="8">
                  <c:v>4.1958041958041949</c:v>
                </c:pt>
                <c:pt idx="9">
                  <c:v>1.9222071460877432</c:v>
                </c:pt>
                <c:pt idx="10">
                  <c:v>5.649717514124295</c:v>
                </c:pt>
                <c:pt idx="11">
                  <c:v>#N/A</c:v>
                </c:pt>
                <c:pt idx="12">
                  <c:v>39.487179487179489</c:v>
                </c:pt>
                <c:pt idx="13">
                  <c:v>4.5212765957446805</c:v>
                </c:pt>
                <c:pt idx="14">
                  <c:v>22.448979591836736</c:v>
                </c:pt>
                <c:pt idx="15">
                  <c:v>18.367346938775512</c:v>
                </c:pt>
                <c:pt idx="16">
                  <c:v>#N/A</c:v>
                </c:pt>
                <c:pt idx="17">
                  <c:v>14.285714285714286</c:v>
                </c:pt>
                <c:pt idx="18">
                  <c:v>1.75</c:v>
                </c:pt>
                <c:pt idx="19">
                  <c:v>2</c:v>
                </c:pt>
                <c:pt idx="20">
                  <c:v>6.1482820976491857</c:v>
                </c:pt>
                <c:pt idx="21">
                  <c:v>3.1249999999999996</c:v>
                </c:pt>
                <c:pt idx="22">
                  <c:v>4</c:v>
                </c:pt>
                <c:pt idx="23">
                  <c:v>5.4561403508771944</c:v>
                </c:pt>
                <c:pt idx="24">
                  <c:v>2.666666666666667</c:v>
                </c:pt>
                <c:pt idx="25">
                  <c:v>2.666666666666667</c:v>
                </c:pt>
                <c:pt idx="26">
                  <c:v>2.5925925925925926</c:v>
                </c:pt>
                <c:pt idx="27">
                  <c:v>2.5925925925925926</c:v>
                </c:pt>
                <c:pt idx="28">
                  <c:v>3.8904198411411901</c:v>
                </c:pt>
                <c:pt idx="29">
                  <c:v>0.23972602739726032</c:v>
                </c:pt>
                <c:pt idx="30">
                  <c:v>12.5</c:v>
                </c:pt>
                <c:pt idx="31">
                  <c:v>12.5</c:v>
                </c:pt>
                <c:pt idx="32">
                  <c:v>#N/A</c:v>
                </c:pt>
                <c:pt idx="33">
                  <c:v>7.8014184397163122</c:v>
                </c:pt>
                <c:pt idx="34">
                  <c:v>8.1449893390191903</c:v>
                </c:pt>
                <c:pt idx="35">
                  <c:v>5.9701492537313445</c:v>
                </c:pt>
                <c:pt idx="36">
                  <c:v>#N/A</c:v>
                </c:pt>
                <c:pt idx="37">
                  <c:v>7.6255547591087245</c:v>
                </c:pt>
                <c:pt idx="38">
                  <c:v>1.4529914529914529</c:v>
                </c:pt>
                <c:pt idx="39">
                  <c:v>1.4529914529914529</c:v>
                </c:pt>
                <c:pt idx="40">
                  <c:v>13.333333333333334</c:v>
                </c:pt>
                <c:pt idx="41">
                  <c:v>16.18627783429411</c:v>
                </c:pt>
                <c:pt idx="42">
                  <c:v>7.7922077922077913</c:v>
                </c:pt>
                <c:pt idx="43">
                  <c:v>7.7922077922077913</c:v>
                </c:pt>
                <c:pt idx="44">
                  <c:v>12.5</c:v>
                </c:pt>
                <c:pt idx="45">
                  <c:v>#N/A</c:v>
                </c:pt>
                <c:pt idx="46">
                  <c:v>34.743683003453249</c:v>
                </c:pt>
                <c:pt idx="47">
                  <c:v>187.94117647058823</c:v>
                </c:pt>
                <c:pt idx="48">
                  <c:v>35.024154589371982</c:v>
                </c:pt>
                <c:pt idx="49">
                  <c:v>1.9550342130987293</c:v>
                </c:pt>
                <c:pt idx="50">
                  <c:v>11.559420289855073</c:v>
                </c:pt>
                <c:pt idx="51">
                  <c:v>7.7639751552795033</c:v>
                </c:pt>
                <c:pt idx="52">
                  <c:v>11.538461538461538</c:v>
                </c:pt>
                <c:pt idx="53">
                  <c:v>17.948717948717949</c:v>
                </c:pt>
                <c:pt idx="54">
                  <c:v>10.833333333333334</c:v>
                </c:pt>
                <c:pt idx="55">
                  <c:v>29.320987654320987</c:v>
                </c:pt>
                <c:pt idx="56">
                  <c:v>16.78876678876679</c:v>
                </c:pt>
                <c:pt idx="57">
                  <c:v>8.3943833943833948</c:v>
                </c:pt>
                <c:pt idx="58">
                  <c:v>8.4</c:v>
                </c:pt>
                <c:pt idx="59">
                  <c:v>#N/A</c:v>
                </c:pt>
                <c:pt idx="60">
                  <c:v>#N/A</c:v>
                </c:pt>
                <c:pt idx="61">
                  <c:v>15.194681861348529</c:v>
                </c:pt>
                <c:pt idx="62">
                  <c:v>20.869504826724079</c:v>
                </c:pt>
                <c:pt idx="63">
                  <c:v>30.548068283917342</c:v>
                </c:pt>
                <c:pt idx="64">
                  <c:v>18.007202881152462</c:v>
                </c:pt>
                <c:pt idx="65">
                  <c:v>26.870389884088514</c:v>
                </c:pt>
                <c:pt idx="66">
                  <c:v>12.416851441241683</c:v>
                </c:pt>
                <c:pt idx="67">
                  <c:v>10.866666666666667</c:v>
                </c:pt>
                <c:pt idx="68">
                  <c:v>4.379084967320261</c:v>
                </c:pt>
                <c:pt idx="69">
                  <c:v>#N/A</c:v>
                </c:pt>
                <c:pt idx="70">
                  <c:v>#N/A</c:v>
                </c:pt>
                <c:pt idx="71">
                  <c:v>#N/A</c:v>
                </c:pt>
                <c:pt idx="72">
                  <c:v>4.6728971962616823</c:v>
                </c:pt>
                <c:pt idx="73">
                  <c:v>4.6728971962616823</c:v>
                </c:pt>
                <c:pt idx="74">
                  <c:v>#N/A</c:v>
                </c:pt>
                <c:pt idx="75">
                  <c:v>4.6567643516659967</c:v>
                </c:pt>
                <c:pt idx="76">
                  <c:v>#N/A</c:v>
                </c:pt>
                <c:pt idx="77">
                  <c:v>#N/A</c:v>
                </c:pt>
                <c:pt idx="78">
                  <c:v>22.243589743589741</c:v>
                </c:pt>
                <c:pt idx="79">
                  <c:v>18.580453363062063</c:v>
                </c:pt>
                <c:pt idx="80">
                  <c:v>8</c:v>
                </c:pt>
                <c:pt idx="81">
                  <c:v>8</c:v>
                </c:pt>
                <c:pt idx="82">
                  <c:v>8</c:v>
                </c:pt>
                <c:pt idx="83">
                  <c:v>24.322344322344318</c:v>
                </c:pt>
                <c:pt idx="84">
                  <c:v>1.3333333333333331E-2</c:v>
                </c:pt>
                <c:pt idx="85">
                  <c:v>8.8583848089681965</c:v>
                </c:pt>
                <c:pt idx="86">
                  <c:v>6.5888812628689069</c:v>
                </c:pt>
                <c:pt idx="87">
                  <c:v>#N/A</c:v>
                </c:pt>
                <c:pt idx="88">
                  <c:v>14.423076923076923</c:v>
                </c:pt>
                <c:pt idx="89">
                  <c:v>16.903340004305569</c:v>
                </c:pt>
                <c:pt idx="90">
                  <c:v>17.541201891260496</c:v>
                </c:pt>
                <c:pt idx="91">
                  <c:v>8.0534022394487508</c:v>
                </c:pt>
                <c:pt idx="92">
                  <c:v>0.45333333333333331</c:v>
                </c:pt>
                <c:pt idx="93">
                  <c:v>86.666666666666671</c:v>
                </c:pt>
                <c:pt idx="94">
                  <c:v>5.5512422360248452</c:v>
                </c:pt>
                <c:pt idx="95">
                  <c:v>4.3249999999999993</c:v>
                </c:pt>
                <c:pt idx="96">
                  <c:v>6.7102396514161224</c:v>
                </c:pt>
                <c:pt idx="97">
                  <c:v>2.7104591836734693E-2</c:v>
                </c:pt>
                <c:pt idx="98">
                  <c:v>23.793490460157127</c:v>
                </c:pt>
                <c:pt idx="99">
                  <c:v>17.957351290684624</c:v>
                </c:pt>
                <c:pt idx="100">
                  <c:v>3.1701631701631703</c:v>
                </c:pt>
                <c:pt idx="101">
                  <c:v>81.909857995472336</c:v>
                </c:pt>
                <c:pt idx="102">
                  <c:v>#N/A</c:v>
                </c:pt>
                <c:pt idx="103">
                  <c:v>#N/A</c:v>
                </c:pt>
                <c:pt idx="104">
                  <c:v>#N/A</c:v>
                </c:pt>
                <c:pt idx="105">
                  <c:v>#N/A</c:v>
                </c:pt>
                <c:pt idx="106">
                  <c:v>52.375</c:v>
                </c:pt>
                <c:pt idx="107">
                  <c:v>35.024154589371982</c:v>
                </c:pt>
                <c:pt idx="108">
                  <c:v>32</c:v>
                </c:pt>
                <c:pt idx="109">
                  <c:v>18</c:v>
                </c:pt>
                <c:pt idx="110">
                  <c:v>4.6536796536796547</c:v>
                </c:pt>
                <c:pt idx="111">
                  <c:v>33.616212619114584</c:v>
                </c:pt>
                <c:pt idx="112">
                  <c:v>23.325535286732567</c:v>
                </c:pt>
                <c:pt idx="113">
                  <c:v>13.374485596707817</c:v>
                </c:pt>
                <c:pt idx="114">
                  <c:v>2.3104693140794224</c:v>
                </c:pt>
                <c:pt idx="115">
                  <c:v>#N/A</c:v>
                </c:pt>
                <c:pt idx="116">
                  <c:v>1.607142857142857</c:v>
                </c:pt>
                <c:pt idx="117">
                  <c:v>1.4285714285714286</c:v>
                </c:pt>
                <c:pt idx="118">
                  <c:v>2.276785714285714</c:v>
                </c:pt>
                <c:pt idx="119">
                  <c:v>3.1696428571428568</c:v>
                </c:pt>
                <c:pt idx="120">
                  <c:v>7.2727272727272716</c:v>
                </c:pt>
                <c:pt idx="121">
                  <c:v>7.2727272727272716</c:v>
                </c:pt>
                <c:pt idx="122">
                  <c:v>4.875</c:v>
                </c:pt>
                <c:pt idx="123">
                  <c:v>0.21192982456140347</c:v>
                </c:pt>
                <c:pt idx="124">
                  <c:v>10.474631751227495</c:v>
                </c:pt>
                <c:pt idx="125">
                  <c:v>10.474631751227495</c:v>
                </c:pt>
                <c:pt idx="126">
                  <c:v>7.1466666666666665</c:v>
                </c:pt>
                <c:pt idx="127">
                  <c:v>9.1915143939115378</c:v>
                </c:pt>
                <c:pt idx="128">
                  <c:v>#N/A</c:v>
                </c:pt>
                <c:pt idx="129">
                  <c:v>56.030701754385966</c:v>
                </c:pt>
                <c:pt idx="130">
                  <c:v>25.761648745519715</c:v>
                </c:pt>
                <c:pt idx="131">
                  <c:v>#N/A</c:v>
                </c:pt>
                <c:pt idx="132">
                  <c:v>3.0749999999999997</c:v>
                </c:pt>
                <c:pt idx="133">
                  <c:v>0.10727272727272728</c:v>
                </c:pt>
                <c:pt idx="134">
                  <c:v>#N/A</c:v>
                </c:pt>
                <c:pt idx="135">
                  <c:v>3.7784090909090913</c:v>
                </c:pt>
                <c:pt idx="136">
                  <c:v>18.71345029239766</c:v>
                </c:pt>
                <c:pt idx="137">
                  <c:v>70.175438596491233</c:v>
                </c:pt>
                <c:pt idx="138">
                  <c:v>8.2789855072463772E-6</c:v>
                </c:pt>
                <c:pt idx="139">
                  <c:v>7.6543209876543195</c:v>
                </c:pt>
                <c:pt idx="140">
                  <c:v>#N/A</c:v>
                </c:pt>
                <c:pt idx="141">
                  <c:v>9.9290780141843982</c:v>
                </c:pt>
                <c:pt idx="142">
                  <c:v>12.267706302794018</c:v>
                </c:pt>
                <c:pt idx="143">
                  <c:v>3.5013262599469495</c:v>
                </c:pt>
                <c:pt idx="144">
                  <c:v>#N/A</c:v>
                </c:pt>
                <c:pt idx="145">
                  <c:v>3.7043714861741703</c:v>
                </c:pt>
              </c:numCache>
            </c:numRef>
          </c:yVal>
          <c:smooth val="0"/>
          <c:extLst>
            <c:ext xmlns:c16="http://schemas.microsoft.com/office/drawing/2014/chart" uri="{C3380CC4-5D6E-409C-BE32-E72D297353CC}">
              <c16:uniqueId val="{00000000-111E-4188-8E76-ACF7AF3DF72F}"/>
            </c:ext>
          </c:extLst>
        </c:ser>
        <c:dLbls>
          <c:showLegendKey val="0"/>
          <c:showVal val="0"/>
          <c:showCatName val="0"/>
          <c:showSerName val="0"/>
          <c:showPercent val="0"/>
          <c:showBubbleSize val="0"/>
        </c:dLbls>
        <c:axId val="249305247"/>
        <c:axId val="249087183"/>
      </c:scatterChart>
      <c:scatterChart>
        <c:scatterStyle val="lineMarker"/>
        <c:varyColors val="0"/>
        <c:ser>
          <c:idx val="1"/>
          <c:order val="1"/>
          <c:tx>
            <c:v>Package</c:v>
          </c:tx>
          <c:spPr>
            <a:ln w="25400" cap="rnd">
              <a:noFill/>
              <a:round/>
            </a:ln>
            <a:effectLst/>
          </c:spPr>
          <c:marker>
            <c:symbol val="circle"/>
            <c:size val="7"/>
            <c:spPr>
              <a:solidFill>
                <a:srgbClr val="FF0000"/>
              </a:solidFill>
              <a:ln w="12700">
                <a:solidFill>
                  <a:schemeClr val="tx1"/>
                </a:solid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Plot_Data_Power!$AD$2:$AD$147</c:f>
              <c:numCache>
                <c:formatCode>General</c:formatCode>
                <c:ptCount val="146"/>
                <c:pt idx="0">
                  <c:v>0.48469387755102045</c:v>
                </c:pt>
                <c:pt idx="1">
                  <c:v>#N/A</c:v>
                </c:pt>
                <c:pt idx="2">
                  <c:v>#N/A</c:v>
                </c:pt>
                <c:pt idx="3">
                  <c:v>0.22959183673469391</c:v>
                </c:pt>
                <c:pt idx="4">
                  <c:v>11.143988010606002</c:v>
                </c:pt>
                <c:pt idx="5">
                  <c:v>#N/A</c:v>
                </c:pt>
                <c:pt idx="6">
                  <c:v>#N/A</c:v>
                </c:pt>
                <c:pt idx="7">
                  <c:v>#N/A</c:v>
                </c:pt>
                <c:pt idx="8">
                  <c:v>0.192</c:v>
                </c:pt>
                <c:pt idx="9">
                  <c:v>2.1760000000000002</c:v>
                </c:pt>
                <c:pt idx="10">
                  <c:v>#N/A</c:v>
                </c:pt>
                <c:pt idx="11">
                  <c:v>#N/A</c:v>
                </c:pt>
                <c:pt idx="12">
                  <c:v>#N/A</c:v>
                </c:pt>
                <c:pt idx="13">
                  <c:v>#N/A</c:v>
                </c:pt>
                <c:pt idx="14">
                  <c:v>8.4876543209876534</c:v>
                </c:pt>
                <c:pt idx="15">
                  <c:v>6.9444444444444446</c:v>
                </c:pt>
                <c:pt idx="16">
                  <c:v>#N/A</c:v>
                </c:pt>
                <c:pt idx="17">
                  <c:v>17.241379310344829</c:v>
                </c:pt>
                <c:pt idx="18">
                  <c:v>1.4868309260832622</c:v>
                </c:pt>
                <c:pt idx="19">
                  <c:v>1.8403496664366232</c:v>
                </c:pt>
                <c:pt idx="20">
                  <c:v>#N/A</c:v>
                </c:pt>
                <c:pt idx="21">
                  <c:v>#N/A</c:v>
                </c:pt>
                <c:pt idx="22">
                  <c:v>#N/A</c:v>
                </c:pt>
                <c:pt idx="23">
                  <c:v>#N/A</c:v>
                </c:pt>
                <c:pt idx="24">
                  <c:v>#N/A</c:v>
                </c:pt>
                <c:pt idx="25">
                  <c:v>#N/A</c:v>
                </c:pt>
                <c:pt idx="26">
                  <c:v>#N/A</c:v>
                </c:pt>
                <c:pt idx="27">
                  <c:v>#N/A</c:v>
                </c:pt>
                <c:pt idx="28">
                  <c:v>#N/A</c:v>
                </c:pt>
                <c:pt idx="29">
                  <c:v>0.44326241134751765</c:v>
                </c:pt>
                <c:pt idx="30">
                  <c:v>4.2709116940474185</c:v>
                </c:pt>
                <c:pt idx="31">
                  <c:v>4.2709116940474185</c:v>
                </c:pt>
                <c:pt idx="32">
                  <c:v>#N/A</c:v>
                </c:pt>
                <c:pt idx="33">
                  <c:v>0.76388888888888895</c:v>
                </c:pt>
                <c:pt idx="34">
                  <c:v>4.7749999999999995</c:v>
                </c:pt>
                <c:pt idx="35">
                  <c:v>3.4999999999999996</c:v>
                </c:pt>
                <c:pt idx="36">
                  <c:v>#N/A</c:v>
                </c:pt>
                <c:pt idx="37">
                  <c:v>#N/A</c:v>
                </c:pt>
                <c:pt idx="38">
                  <c:v>#N/A</c:v>
                </c:pt>
                <c:pt idx="39">
                  <c:v>#N/A</c:v>
                </c:pt>
                <c:pt idx="40">
                  <c:v>4.4246913580246909</c:v>
                </c:pt>
                <c:pt idx="41">
                  <c:v>#N/A</c:v>
                </c:pt>
                <c:pt idx="42">
                  <c:v>#N/A</c:v>
                </c:pt>
                <c:pt idx="43">
                  <c:v>#N/A</c:v>
                </c:pt>
                <c:pt idx="44">
                  <c:v>2.4951267056530213</c:v>
                </c:pt>
                <c:pt idx="45">
                  <c:v>#N/A</c:v>
                </c:pt>
                <c:pt idx="46">
                  <c:v>#N/A</c:v>
                </c:pt>
                <c:pt idx="47">
                  <c:v>#N/A</c:v>
                </c:pt>
                <c:pt idx="48">
                  <c:v>#N/A</c:v>
                </c:pt>
                <c:pt idx="49">
                  <c:v>#N/A</c:v>
                </c:pt>
                <c:pt idx="50">
                  <c:v>#N/A</c:v>
                </c:pt>
                <c:pt idx="51">
                  <c:v>4.898958971218617</c:v>
                </c:pt>
                <c:pt idx="52">
                  <c:v>#N/A</c:v>
                </c:pt>
                <c:pt idx="53">
                  <c:v>#N/A</c:v>
                </c:pt>
                <c:pt idx="54">
                  <c:v>#N/A</c:v>
                </c:pt>
                <c:pt idx="55">
                  <c:v>#N/A</c:v>
                </c:pt>
                <c:pt idx="56">
                  <c:v>#N/A</c:v>
                </c:pt>
                <c:pt idx="57">
                  <c:v>#N/A</c:v>
                </c:pt>
                <c:pt idx="58">
                  <c:v>0.48</c:v>
                </c:pt>
                <c:pt idx="59">
                  <c:v>#N/A</c:v>
                </c:pt>
                <c:pt idx="60">
                  <c:v>1.1001011122345805</c:v>
                </c:pt>
                <c:pt idx="61">
                  <c:v>#N/A</c:v>
                </c:pt>
                <c:pt idx="62">
                  <c:v>#N/A</c:v>
                </c:pt>
                <c:pt idx="63">
                  <c:v>#N/A</c:v>
                </c:pt>
                <c:pt idx="64">
                  <c:v>#N/A</c:v>
                </c:pt>
                <c:pt idx="65">
                  <c:v>#N/A</c:v>
                </c:pt>
                <c:pt idx="66">
                  <c:v>#N/A</c:v>
                </c:pt>
                <c:pt idx="67">
                  <c:v>#N/A</c:v>
                </c:pt>
                <c:pt idx="68">
                  <c:v>#N/A</c:v>
                </c:pt>
                <c:pt idx="69">
                  <c:v>6.9921925326599501</c:v>
                </c:pt>
                <c:pt idx="70">
                  <c:v>26.26449163845286</c:v>
                </c:pt>
                <c:pt idx="71">
                  <c:v>#N/A</c:v>
                </c:pt>
                <c:pt idx="72">
                  <c:v>#N/A</c:v>
                </c:pt>
                <c:pt idx="73">
                  <c:v>#N/A</c:v>
                </c:pt>
                <c:pt idx="74">
                  <c:v>10.772265210135034</c:v>
                </c:pt>
                <c:pt idx="75">
                  <c:v>#N/A</c:v>
                </c:pt>
                <c:pt idx="76">
                  <c:v>34.185183641138956</c:v>
                </c:pt>
                <c:pt idx="77">
                  <c:v>0.11583710407239818</c:v>
                </c:pt>
                <c:pt idx="78">
                  <c:v>#N/A</c:v>
                </c:pt>
                <c:pt idx="79">
                  <c:v>0.51701852649719937</c:v>
                </c:pt>
                <c:pt idx="80">
                  <c:v>0.8771929824561403</c:v>
                </c:pt>
                <c:pt idx="81">
                  <c:v>0.8771929824561403</c:v>
                </c:pt>
                <c:pt idx="82">
                  <c:v>0.8771929824561403</c:v>
                </c:pt>
                <c:pt idx="83">
                  <c:v>28.076109936575047</c:v>
                </c:pt>
                <c:pt idx="84">
                  <c:v>#N/A</c:v>
                </c:pt>
                <c:pt idx="85">
                  <c:v>0.86044444444444446</c:v>
                </c:pt>
                <c:pt idx="86">
                  <c:v>0.64</c:v>
                </c:pt>
                <c:pt idx="87">
                  <c:v>#N/A</c:v>
                </c:pt>
                <c:pt idx="88">
                  <c:v>#N/A</c:v>
                </c:pt>
                <c:pt idx="89">
                  <c:v>#N/A</c:v>
                </c:pt>
                <c:pt idx="90">
                  <c:v>#N/A</c:v>
                </c:pt>
                <c:pt idx="91">
                  <c:v>#N/A</c:v>
                </c:pt>
                <c:pt idx="92">
                  <c:v>#N/A</c:v>
                </c:pt>
                <c:pt idx="93">
                  <c:v>#N/A</c:v>
                </c:pt>
                <c:pt idx="94">
                  <c:v>#N/A</c:v>
                </c:pt>
                <c:pt idx="95">
                  <c:v>#N/A</c:v>
                </c:pt>
                <c:pt idx="96">
                  <c:v>#N/A</c:v>
                </c:pt>
                <c:pt idx="97">
                  <c:v>2.7104591836734696E-2</c:v>
                </c:pt>
                <c:pt idx="98">
                  <c:v>7.5377777777777784</c:v>
                </c:pt>
                <c:pt idx="99">
                  <c:v>5.6888888888888891</c:v>
                </c:pt>
                <c:pt idx="100">
                  <c:v>#N/A</c:v>
                </c:pt>
                <c:pt idx="101">
                  <c:v>#N/A</c:v>
                </c:pt>
                <c:pt idx="102">
                  <c:v>3.519061583577713E-2</c:v>
                </c:pt>
                <c:pt idx="103">
                  <c:v>0.6215733775341068</c:v>
                </c:pt>
                <c:pt idx="104">
                  <c:v>0.6215733775341068</c:v>
                </c:pt>
                <c:pt idx="105">
                  <c:v>#N/A</c:v>
                </c:pt>
                <c:pt idx="106">
                  <c:v>#N/A</c:v>
                </c:pt>
                <c:pt idx="107">
                  <c:v>#N/A</c:v>
                </c:pt>
                <c:pt idx="108">
                  <c:v>6.9226608977825856</c:v>
                </c:pt>
                <c:pt idx="109">
                  <c:v>3.8939967550027044</c:v>
                </c:pt>
                <c:pt idx="110">
                  <c:v>3.04719723183391</c:v>
                </c:pt>
                <c:pt idx="111">
                  <c:v>28.224</c:v>
                </c:pt>
                <c:pt idx="112">
                  <c:v>19.583999999999996</c:v>
                </c:pt>
                <c:pt idx="113">
                  <c:v>#N/A</c:v>
                </c:pt>
                <c:pt idx="114">
                  <c:v>#N/A</c:v>
                </c:pt>
                <c:pt idx="115">
                  <c:v>#N/A</c:v>
                </c:pt>
                <c:pt idx="116">
                  <c:v>#N/A</c:v>
                </c:pt>
                <c:pt idx="117">
                  <c:v>#N/A</c:v>
                </c:pt>
                <c:pt idx="118">
                  <c:v>#N/A</c:v>
                </c:pt>
                <c:pt idx="119">
                  <c:v>#N/A</c:v>
                </c:pt>
                <c:pt idx="120">
                  <c:v>#N/A</c:v>
                </c:pt>
                <c:pt idx="121">
                  <c:v>#N/A</c:v>
                </c:pt>
                <c:pt idx="122">
                  <c:v>#N/A</c:v>
                </c:pt>
                <c:pt idx="123">
                  <c:v>4.6019047619047617</c:v>
                </c:pt>
                <c:pt idx="124">
                  <c:v>0.2776171197223829</c:v>
                </c:pt>
                <c:pt idx="125">
                  <c:v>0.2776171197223829</c:v>
                </c:pt>
                <c:pt idx="126">
                  <c:v>#N/A</c:v>
                </c:pt>
                <c:pt idx="127">
                  <c:v>10.629251700680271</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4.7781569965870307</c:v>
                </c:pt>
                <c:pt idx="142">
                  <c:v>#N/A</c:v>
                </c:pt>
                <c:pt idx="143">
                  <c:v>#N/A</c:v>
                </c:pt>
                <c:pt idx="144">
                  <c:v>#N/A</c:v>
                </c:pt>
                <c:pt idx="145">
                  <c:v>#N/A</c:v>
                </c:pt>
              </c:numCache>
            </c:numRef>
          </c:yVal>
          <c:smooth val="0"/>
          <c:extLst>
            <c:ext xmlns:c16="http://schemas.microsoft.com/office/drawing/2014/chart" uri="{C3380CC4-5D6E-409C-BE32-E72D297353CC}">
              <c16:uniqueId val="{00000001-111E-4188-8E76-ACF7AF3DF72F}"/>
            </c:ext>
          </c:extLst>
        </c:ser>
        <c:dLbls>
          <c:showLegendKey val="0"/>
          <c:showVal val="0"/>
          <c:showCatName val="0"/>
          <c:showSerName val="0"/>
          <c:showPercent val="0"/>
          <c:showBubbleSize val="0"/>
        </c:dLbls>
        <c:axId val="994547808"/>
        <c:axId val="994546368"/>
      </c:scatterChart>
      <c:valAx>
        <c:axId val="249305247"/>
        <c:scaling>
          <c:orientation val="minMax"/>
        </c:scaling>
        <c:delete val="0"/>
        <c:axPos val="b"/>
        <c:majorGridlines>
          <c:spPr>
            <a:ln w="158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087183"/>
        <c:crosses val="autoZero"/>
        <c:crossBetween val="midCat"/>
        <c:majorUnit val="100"/>
      </c:valAx>
      <c:valAx>
        <c:axId val="249087183"/>
        <c:scaling>
          <c:orientation val="minMax"/>
        </c:scaling>
        <c:delete val="0"/>
        <c:axPos val="l"/>
        <c:majorGridlines>
          <c:spPr>
            <a:ln w="158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Chip</a:t>
                </a:r>
                <a:r>
                  <a:rPr lang="en-US" baseline="0"/>
                  <a:t> Thermal Density (W/cm</a:t>
                </a:r>
                <a:r>
                  <a:rPr lang="en-US" baseline="30000"/>
                  <a:t>2</a:t>
                </a:r>
                <a:r>
                  <a:rPr lang="en-US" baseline="0"/>
                  <a:t>)</a:t>
                </a:r>
                <a:endParaRPr lang="en-US"/>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305247"/>
        <c:crosses val="autoZero"/>
        <c:crossBetween val="midCat"/>
      </c:valAx>
      <c:valAx>
        <c:axId val="994546368"/>
        <c:scaling>
          <c:orientation val="minMax"/>
          <c:max val="1000"/>
          <c:min val="1.0000000000000004E-6"/>
        </c:scaling>
        <c:delete val="0"/>
        <c:axPos val="r"/>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sz="1200" b="1" i="0" u="none" strike="noStrike" kern="1200" baseline="0">
                    <a:solidFill>
                      <a:sysClr val="windowText" lastClr="000000"/>
                    </a:solidFill>
                    <a:latin typeface="Arial Narrow" panose="020B0606020202030204" pitchFamily="34" charset="0"/>
                  </a:rPr>
                  <a:t>Package Thermal Density (W/cm</a:t>
                </a:r>
                <a:r>
                  <a:rPr lang="en-US" sz="1200" b="1" i="0" u="none" strike="noStrike" kern="1200" baseline="30000">
                    <a:solidFill>
                      <a:sysClr val="windowText" lastClr="000000"/>
                    </a:solidFill>
                    <a:latin typeface="Arial Narrow" panose="020B0606020202030204" pitchFamily="34" charset="0"/>
                  </a:rPr>
                  <a:t>2</a:t>
                </a:r>
                <a:r>
                  <a:rPr lang="en-US" sz="1200" b="1" i="0" u="none" strike="noStrike" kern="1200" baseline="0">
                    <a:solidFill>
                      <a:sysClr val="windowText" lastClr="000000"/>
                    </a:solidFill>
                    <a:latin typeface="Arial Narrow" panose="020B0606020202030204" pitchFamily="34" charset="0"/>
                  </a:rPr>
                  <a:t>)</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994547808"/>
        <c:crosses val="max"/>
        <c:crossBetween val="midCat"/>
      </c:valAx>
      <c:valAx>
        <c:axId val="994547808"/>
        <c:scaling>
          <c:orientation val="minMax"/>
        </c:scaling>
        <c:delete val="1"/>
        <c:axPos val="b"/>
        <c:numFmt formatCode="General" sourceLinked="1"/>
        <c:majorTickMark val="out"/>
        <c:minorTickMark val="none"/>
        <c:tickLblPos val="nextTo"/>
        <c:crossAx val="994546368"/>
        <c:crosses val="autoZero"/>
        <c:crossBetween val="midCat"/>
      </c:valAx>
      <c:spPr>
        <a:noFill/>
        <a:ln w="25400">
          <a:solidFill>
            <a:schemeClr val="tx1"/>
          </a:solidFill>
        </a:ln>
        <a:effectLst/>
      </c:spPr>
    </c:plotArea>
    <c:legend>
      <c:legendPos val="t"/>
      <c:layout>
        <c:manualLayout>
          <c:xMode val="edge"/>
          <c:yMode val="edge"/>
          <c:x val="0.35454966101645746"/>
          <c:y val="8.0864674374162768E-2"/>
          <c:w val="0.29070422206126312"/>
          <c:h val="8.3436578428464248E-2"/>
        </c:manualLayout>
      </c:layout>
      <c:overlay val="1"/>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r>
              <a:rPr lang="en-US"/>
              <a:t>DC-to-RF</a:t>
            </a:r>
            <a:r>
              <a:rPr lang="en-US" baseline="0"/>
              <a:t> Efficiency vs. Aperture Size</a:t>
            </a:r>
            <a:endParaRPr lang="en-US"/>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endParaRPr lang="en-CH"/>
        </a:p>
      </c:txPr>
    </c:title>
    <c:autoTitleDeleted val="0"/>
    <c:plotArea>
      <c:layout>
        <c:manualLayout>
          <c:layoutTarget val="inner"/>
          <c:xMode val="edge"/>
          <c:yMode val="edge"/>
          <c:x val="0.14921300160060638"/>
          <c:y val="0.1655132371066812"/>
          <c:w val="0.65414932296947781"/>
          <c:h val="0.62126968928366488"/>
        </c:manualLayout>
      </c:layout>
      <c:scatterChart>
        <c:scatterStyle val="lineMarker"/>
        <c:varyColors val="0"/>
        <c:ser>
          <c:idx val="0"/>
          <c:order val="0"/>
          <c:tx>
            <c:strRef>
              <c:f>Plot_Data_Power!$L$1</c:f>
              <c:strCache>
                <c:ptCount val="1"/>
                <c:pt idx="0">
                  <c:v>&lt;20GHz</c:v>
                </c:pt>
              </c:strCache>
            </c:strRef>
          </c:tx>
          <c:spPr>
            <a:ln w="25400" cap="rnd">
              <a:noFill/>
              <a:round/>
            </a:ln>
            <a:effectLst/>
          </c:spPr>
          <c:marker>
            <c:symbol val="circle"/>
            <c:size val="7"/>
            <c:spPr>
              <a:solidFill>
                <a:srgbClr val="FF0000">
                  <a:alpha val="50000"/>
                </a:srgbClr>
              </a:solidFill>
              <a:ln w="15875">
                <a:noFill/>
              </a:ln>
              <a:effectLst/>
            </c:spPr>
          </c:marker>
          <c:xVal>
            <c:numRef>
              <c:f>Plot_Data_Power!$E$2:$E$147</c:f>
              <c:numCache>
                <c:formatCode>General</c:formatCode>
                <c:ptCount val="146"/>
                <c:pt idx="0">
                  <c:v>7.839999999999999</c:v>
                </c:pt>
                <c:pt idx="1">
                  <c:v>#N/A</c:v>
                </c:pt>
                <c:pt idx="2">
                  <c:v>#N/A</c:v>
                </c:pt>
                <c:pt idx="3">
                  <c:v>7.839999999999999</c:v>
                </c:pt>
                <c:pt idx="4">
                  <c:v>0.234207</c:v>
                </c:pt>
                <c:pt idx="5">
                  <c:v>78.539816339744846</c:v>
                </c:pt>
                <c:pt idx="6">
                  <c:v>78.539816339744846</c:v>
                </c:pt>
                <c:pt idx="7">
                  <c:v>824.47957600810525</c:v>
                </c:pt>
                <c:pt idx="8">
                  <c:v>6.25</c:v>
                </c:pt>
                <c:pt idx="9">
                  <c:v>1.5625</c:v>
                </c:pt>
                <c:pt idx="10">
                  <c:v>#N/A</c:v>
                </c:pt>
                <c:pt idx="11">
                  <c:v>400</c:v>
                </c:pt>
                <c:pt idx="12">
                  <c:v>2.8080000000000004E-2</c:v>
                </c:pt>
                <c:pt idx="13">
                  <c:v>#N/A</c:v>
                </c:pt>
                <c:pt idx="14">
                  <c:v>0.64800000000000002</c:v>
                </c:pt>
                <c:pt idx="15">
                  <c:v>0.64800000000000002</c:v>
                </c:pt>
                <c:pt idx="16">
                  <c:v>110.25</c:v>
                </c:pt>
                <c:pt idx="17">
                  <c:v>8.6999999999999994E-2</c:v>
                </c:pt>
                <c:pt idx="18">
                  <c:v>4.7080000000000011</c:v>
                </c:pt>
                <c:pt idx="19">
                  <c:v>17.387999999999998</c:v>
                </c:pt>
                <c:pt idx="20">
                  <c:v>#N/A</c:v>
                </c:pt>
                <c:pt idx="21">
                  <c:v>#N/A</c:v>
                </c:pt>
                <c:pt idx="22">
                  <c:v>#N/A</c:v>
                </c:pt>
                <c:pt idx="23">
                  <c:v>4.1159999999999999E-3</c:v>
                </c:pt>
                <c:pt idx="24">
                  <c:v>#N/A</c:v>
                </c:pt>
                <c:pt idx="25">
                  <c:v>#N/A</c:v>
                </c:pt>
                <c:pt idx="26">
                  <c:v>#N/A</c:v>
                </c:pt>
                <c:pt idx="27">
                  <c:v>#N/A</c:v>
                </c:pt>
                <c:pt idx="28">
                  <c:v>#N/A</c:v>
                </c:pt>
                <c:pt idx="29">
                  <c:v>18.950400000000005</c:v>
                </c:pt>
                <c:pt idx="30">
                  <c:v>1.0302249999999997</c:v>
                </c:pt>
                <c:pt idx="31">
                  <c:v>1.0302249999999997</c:v>
                </c:pt>
                <c:pt idx="32">
                  <c:v>11.626500000000002</c:v>
                </c:pt>
                <c:pt idx="33">
                  <c:v>18.431999999999999</c:v>
                </c:pt>
                <c:pt idx="34">
                  <c:v>2.5600000000000005</c:v>
                </c:pt>
                <c:pt idx="35">
                  <c:v>2.5600000000000005</c:v>
                </c:pt>
                <c:pt idx="36">
                  <c:v>151.20000000000002</c:v>
                </c:pt>
                <c:pt idx="37">
                  <c:v>6.2495999999999989E-2</c:v>
                </c:pt>
                <c:pt idx="38">
                  <c:v>#N/A</c:v>
                </c:pt>
                <c:pt idx="39">
                  <c:v>#N/A</c:v>
                </c:pt>
                <c:pt idx="40">
                  <c:v>2.4300000000000002</c:v>
                </c:pt>
                <c:pt idx="41">
                  <c:v>#N/A</c:v>
                </c:pt>
                <c:pt idx="42">
                  <c:v>#N/A</c:v>
                </c:pt>
                <c:pt idx="43">
                  <c:v>#N/A</c:v>
                </c:pt>
                <c:pt idx="44">
                  <c:v>9.6187500000000004</c:v>
                </c:pt>
                <c:pt idx="45">
                  <c:v>#N/A</c:v>
                </c:pt>
                <c:pt idx="46">
                  <c:v>9.1350000000000001E-2</c:v>
                </c:pt>
                <c:pt idx="47">
                  <c:v>6.8000000000000005E-3</c:v>
                </c:pt>
                <c:pt idx="48">
                  <c:v>2.1170000000000001E-2</c:v>
                </c:pt>
                <c:pt idx="49">
                  <c:v>1.1165000000000001E-2</c:v>
                </c:pt>
                <c:pt idx="50">
                  <c:v>3.2000000000000006E-3</c:v>
                </c:pt>
                <c:pt idx="51">
                  <c:v>0.81649999999999989</c:v>
                </c:pt>
                <c:pt idx="52">
                  <c:v>#N/A</c:v>
                </c:pt>
                <c:pt idx="53">
                  <c:v>#N/A</c:v>
                </c:pt>
                <c:pt idx="54">
                  <c:v>2.516E-3</c:v>
                </c:pt>
                <c:pt idx="55">
                  <c:v>#N/A</c:v>
                </c:pt>
                <c:pt idx="56">
                  <c:v>#N/A</c:v>
                </c:pt>
                <c:pt idx="57">
                  <c:v>#N/A</c:v>
                </c:pt>
                <c:pt idx="58">
                  <c:v>33.6</c:v>
                </c:pt>
                <c:pt idx="59">
                  <c:v>16</c:v>
                </c:pt>
                <c:pt idx="60">
                  <c:v>19.779999999999998</c:v>
                </c:pt>
                <c:pt idx="61">
                  <c:v>6.7320000000000001E-3</c:v>
                </c:pt>
                <c:pt idx="62">
                  <c:v>1.8919999999999999E-2</c:v>
                </c:pt>
                <c:pt idx="63">
                  <c:v>1.3260000000000001E-3</c:v>
                </c:pt>
                <c:pt idx="64">
                  <c:v>#N/A</c:v>
                </c:pt>
                <c:pt idx="65">
                  <c:v>2.9970000000000004E-2</c:v>
                </c:pt>
                <c:pt idx="66">
                  <c:v>6.7650000000000005E-5</c:v>
                </c:pt>
                <c:pt idx="67">
                  <c:v>2.0276000000000002E-2</c:v>
                </c:pt>
                <c:pt idx="68">
                  <c:v>#N/A</c:v>
                </c:pt>
                <c:pt idx="69">
                  <c:v>3.8809</c:v>
                </c:pt>
                <c:pt idx="70">
                  <c:v>2.9240999999999997</c:v>
                </c:pt>
                <c:pt idx="71">
                  <c:v>100</c:v>
                </c:pt>
                <c:pt idx="72">
                  <c:v>#N/A</c:v>
                </c:pt>
                <c:pt idx="73">
                  <c:v>#N/A</c:v>
                </c:pt>
                <c:pt idx="74">
                  <c:v>13.181999999999999</c:v>
                </c:pt>
                <c:pt idx="75">
                  <c:v>#N/A</c:v>
                </c:pt>
                <c:pt idx="76">
                  <c:v>9.5947999999999993</c:v>
                </c:pt>
                <c:pt idx="77">
                  <c:v>331.5</c:v>
                </c:pt>
                <c:pt idx="78">
                  <c:v>5.4880000000000007E-3</c:v>
                </c:pt>
                <c:pt idx="79">
                  <c:v>4.6420000000000003</c:v>
                </c:pt>
                <c:pt idx="80">
                  <c:v>2.2800000000000002</c:v>
                </c:pt>
                <c:pt idx="81">
                  <c:v>2.2800000000000002</c:v>
                </c:pt>
                <c:pt idx="82">
                  <c:v>2.2800000000000002</c:v>
                </c:pt>
                <c:pt idx="83">
                  <c:v>4.7300000000000009E-2</c:v>
                </c:pt>
                <c:pt idx="84">
                  <c:v>#N/A</c:v>
                </c:pt>
                <c:pt idx="85">
                  <c:v>2.25</c:v>
                </c:pt>
                <c:pt idx="86">
                  <c:v>2.25</c:v>
                </c:pt>
                <c:pt idx="87">
                  <c:v>3.2768000000000002</c:v>
                </c:pt>
                <c:pt idx="88">
                  <c:v>2.5092E-2</c:v>
                </c:pt>
                <c:pt idx="89">
                  <c:v>#N/A</c:v>
                </c:pt>
                <c:pt idx="90">
                  <c:v>#N/A</c:v>
                </c:pt>
                <c:pt idx="91">
                  <c:v>#N/A</c:v>
                </c:pt>
                <c:pt idx="92">
                  <c:v>#N/A</c:v>
                </c:pt>
                <c:pt idx="93">
                  <c:v>#N/A</c:v>
                </c:pt>
                <c:pt idx="94">
                  <c:v>4.2635999999999993E-3</c:v>
                </c:pt>
                <c:pt idx="95">
                  <c:v>#N/A</c:v>
                </c:pt>
                <c:pt idx="96">
                  <c:v>#N/A</c:v>
                </c:pt>
                <c:pt idx="97">
                  <c:v>31.359999999999996</c:v>
                </c:pt>
                <c:pt idx="98">
                  <c:v>9</c:v>
                </c:pt>
                <c:pt idx="99">
                  <c:v>9</c:v>
                </c:pt>
                <c:pt idx="100">
                  <c:v>#N/A</c:v>
                </c:pt>
                <c:pt idx="101">
                  <c:v>6.1419999999999999E-3</c:v>
                </c:pt>
                <c:pt idx="102">
                  <c:v>1364</c:v>
                </c:pt>
                <c:pt idx="103">
                  <c:v>6.2744000000000009</c:v>
                </c:pt>
                <c:pt idx="104">
                  <c:v>6.2744000000000009</c:v>
                </c:pt>
                <c:pt idx="105">
                  <c:v>#N/A</c:v>
                </c:pt>
                <c:pt idx="106">
                  <c:v>5.5999999999999991E-3</c:v>
                </c:pt>
                <c:pt idx="107">
                  <c:v>2.2349999999999998E-2</c:v>
                </c:pt>
                <c:pt idx="108">
                  <c:v>0.18489999999999998</c:v>
                </c:pt>
                <c:pt idx="109">
                  <c:v>0.18489999999999998</c:v>
                </c:pt>
                <c:pt idx="110">
                  <c:v>18.0625</c:v>
                </c:pt>
                <c:pt idx="111">
                  <c:v>0.17361111111111113</c:v>
                </c:pt>
                <c:pt idx="112">
                  <c:v>0.17361111111111113</c:v>
                </c:pt>
                <c:pt idx="113">
                  <c:v>#N/A</c:v>
                </c:pt>
                <c:pt idx="114">
                  <c:v>#N/A</c:v>
                </c:pt>
                <c:pt idx="115">
                  <c:v>#N/A</c:v>
                </c:pt>
                <c:pt idx="116">
                  <c:v>#N/A</c:v>
                </c:pt>
                <c:pt idx="117">
                  <c:v>#N/A</c:v>
                </c:pt>
                <c:pt idx="118">
                  <c:v>#N/A</c:v>
                </c:pt>
                <c:pt idx="119">
                  <c:v>#N/A</c:v>
                </c:pt>
                <c:pt idx="120">
                  <c:v>#N/A</c:v>
                </c:pt>
                <c:pt idx="121">
                  <c:v>#N/A</c:v>
                </c:pt>
                <c:pt idx="122">
                  <c:v>#N/A</c:v>
                </c:pt>
                <c:pt idx="123">
                  <c:v>6.72</c:v>
                </c:pt>
                <c:pt idx="124">
                  <c:v>13.831999999999999</c:v>
                </c:pt>
                <c:pt idx="125">
                  <c:v>13.831999999999999</c:v>
                </c:pt>
                <c:pt idx="126">
                  <c:v>#N/A</c:v>
                </c:pt>
                <c:pt idx="127">
                  <c:v>0.23520000000000002</c:v>
                </c:pt>
                <c:pt idx="128">
                  <c:v>#N/A</c:v>
                </c:pt>
                <c:pt idx="129">
                  <c:v>#N/A</c:v>
                </c:pt>
                <c:pt idx="130">
                  <c:v>#N/A</c:v>
                </c:pt>
                <c:pt idx="131">
                  <c:v>2.7000000000000003E-2</c:v>
                </c:pt>
                <c:pt idx="132">
                  <c:v>#N/A</c:v>
                </c:pt>
                <c:pt idx="133">
                  <c:v>#N/A</c:v>
                </c:pt>
                <c:pt idx="134">
                  <c:v>6.2410000000000009E-3</c:v>
                </c:pt>
                <c:pt idx="135">
                  <c:v>#N/A</c:v>
                </c:pt>
                <c:pt idx="136">
                  <c:v>#N/A</c:v>
                </c:pt>
                <c:pt idx="137">
                  <c:v>#N/A</c:v>
                </c:pt>
                <c:pt idx="138">
                  <c:v>2.8365000000000001E-2</c:v>
                </c:pt>
                <c:pt idx="139">
                  <c:v>#N/A</c:v>
                </c:pt>
                <c:pt idx="140">
                  <c:v>6.5198999999999989</c:v>
                </c:pt>
                <c:pt idx="141">
                  <c:v>0.9376000000000001</c:v>
                </c:pt>
                <c:pt idx="142">
                  <c:v>#N/A</c:v>
                </c:pt>
                <c:pt idx="143">
                  <c:v>#N/A</c:v>
                </c:pt>
                <c:pt idx="144">
                  <c:v>0.75529999999999997</c:v>
                </c:pt>
                <c:pt idx="145">
                  <c:v>#N/A</c:v>
                </c:pt>
              </c:numCache>
            </c:numRef>
          </c:xVal>
          <c:yVal>
            <c:numRef>
              <c:f>Plot_Data_Power!$L$2:$L$147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5.282977308203721</c:v>
                </c:pt>
                <c:pt idx="71">
                  <c:v>#N/A</c:v>
                </c:pt>
                <c:pt idx="72">
                  <c:v>#N/A</c:v>
                </c:pt>
                <c:pt idx="73">
                  <c:v>#N/A</c:v>
                </c:pt>
                <c:pt idx="74">
                  <c:v>#N/A</c:v>
                </c:pt>
                <c:pt idx="75">
                  <c:v>#N/A</c:v>
                </c:pt>
                <c:pt idx="76">
                  <c:v>#N/A</c:v>
                </c:pt>
                <c:pt idx="77">
                  <c:v>#N/A</c:v>
                </c:pt>
                <c:pt idx="78">
                  <c:v>#N/A</c:v>
                </c:pt>
                <c:pt idx="79">
                  <c:v>#N/A</c:v>
                </c:pt>
                <c:pt idx="80">
                  <c:v>6.3395727698444562</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1.4960246057359528</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5.8855731025948144</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0-CC2F-4E0D-8C06-0F0F34944392}"/>
            </c:ext>
          </c:extLst>
        </c:ser>
        <c:ser>
          <c:idx val="1"/>
          <c:order val="1"/>
          <c:tx>
            <c:strRef>
              <c:f>Plot_Data_Power!$M$1</c:f>
              <c:strCache>
                <c:ptCount val="1"/>
                <c:pt idx="0">
                  <c:v>20-50GHz</c:v>
                </c:pt>
              </c:strCache>
            </c:strRef>
          </c:tx>
          <c:spPr>
            <a:ln w="25400" cap="rnd">
              <a:noFill/>
              <a:round/>
            </a:ln>
            <a:effectLst/>
          </c:spPr>
          <c:marker>
            <c:symbol val="circle"/>
            <c:size val="7"/>
            <c:spPr>
              <a:solidFill>
                <a:schemeClr val="accent4">
                  <a:alpha val="50000"/>
                </a:schemeClr>
              </a:solidFill>
              <a:ln w="9525">
                <a:noFill/>
              </a:ln>
              <a:effectLst/>
            </c:spPr>
          </c:marker>
          <c:xVal>
            <c:numRef>
              <c:f>Plot_Data_Power!$E$2:$E$147</c:f>
              <c:numCache>
                <c:formatCode>General</c:formatCode>
                <c:ptCount val="146"/>
                <c:pt idx="0">
                  <c:v>7.839999999999999</c:v>
                </c:pt>
                <c:pt idx="1">
                  <c:v>#N/A</c:v>
                </c:pt>
                <c:pt idx="2">
                  <c:v>#N/A</c:v>
                </c:pt>
                <c:pt idx="3">
                  <c:v>7.839999999999999</c:v>
                </c:pt>
                <c:pt idx="4">
                  <c:v>0.234207</c:v>
                </c:pt>
                <c:pt idx="5">
                  <c:v>78.539816339744846</c:v>
                </c:pt>
                <c:pt idx="6">
                  <c:v>78.539816339744846</c:v>
                </c:pt>
                <c:pt idx="7">
                  <c:v>824.47957600810525</c:v>
                </c:pt>
                <c:pt idx="8">
                  <c:v>6.25</c:v>
                </c:pt>
                <c:pt idx="9">
                  <c:v>1.5625</c:v>
                </c:pt>
                <c:pt idx="10">
                  <c:v>#N/A</c:v>
                </c:pt>
                <c:pt idx="11">
                  <c:v>400</c:v>
                </c:pt>
                <c:pt idx="12">
                  <c:v>2.8080000000000004E-2</c:v>
                </c:pt>
                <c:pt idx="13">
                  <c:v>#N/A</c:v>
                </c:pt>
                <c:pt idx="14">
                  <c:v>0.64800000000000002</c:v>
                </c:pt>
                <c:pt idx="15">
                  <c:v>0.64800000000000002</c:v>
                </c:pt>
                <c:pt idx="16">
                  <c:v>110.25</c:v>
                </c:pt>
                <c:pt idx="17">
                  <c:v>8.6999999999999994E-2</c:v>
                </c:pt>
                <c:pt idx="18">
                  <c:v>4.7080000000000011</c:v>
                </c:pt>
                <c:pt idx="19">
                  <c:v>17.387999999999998</c:v>
                </c:pt>
                <c:pt idx="20">
                  <c:v>#N/A</c:v>
                </c:pt>
                <c:pt idx="21">
                  <c:v>#N/A</c:v>
                </c:pt>
                <c:pt idx="22">
                  <c:v>#N/A</c:v>
                </c:pt>
                <c:pt idx="23">
                  <c:v>4.1159999999999999E-3</c:v>
                </c:pt>
                <c:pt idx="24">
                  <c:v>#N/A</c:v>
                </c:pt>
                <c:pt idx="25">
                  <c:v>#N/A</c:v>
                </c:pt>
                <c:pt idx="26">
                  <c:v>#N/A</c:v>
                </c:pt>
                <c:pt idx="27">
                  <c:v>#N/A</c:v>
                </c:pt>
                <c:pt idx="28">
                  <c:v>#N/A</c:v>
                </c:pt>
                <c:pt idx="29">
                  <c:v>18.950400000000005</c:v>
                </c:pt>
                <c:pt idx="30">
                  <c:v>1.0302249999999997</c:v>
                </c:pt>
                <c:pt idx="31">
                  <c:v>1.0302249999999997</c:v>
                </c:pt>
                <c:pt idx="32">
                  <c:v>11.626500000000002</c:v>
                </c:pt>
                <c:pt idx="33">
                  <c:v>18.431999999999999</c:v>
                </c:pt>
                <c:pt idx="34">
                  <c:v>2.5600000000000005</c:v>
                </c:pt>
                <c:pt idx="35">
                  <c:v>2.5600000000000005</c:v>
                </c:pt>
                <c:pt idx="36">
                  <c:v>151.20000000000002</c:v>
                </c:pt>
                <c:pt idx="37">
                  <c:v>6.2495999999999989E-2</c:v>
                </c:pt>
                <c:pt idx="38">
                  <c:v>#N/A</c:v>
                </c:pt>
                <c:pt idx="39">
                  <c:v>#N/A</c:v>
                </c:pt>
                <c:pt idx="40">
                  <c:v>2.4300000000000002</c:v>
                </c:pt>
                <c:pt idx="41">
                  <c:v>#N/A</c:v>
                </c:pt>
                <c:pt idx="42">
                  <c:v>#N/A</c:v>
                </c:pt>
                <c:pt idx="43">
                  <c:v>#N/A</c:v>
                </c:pt>
                <c:pt idx="44">
                  <c:v>9.6187500000000004</c:v>
                </c:pt>
                <c:pt idx="45">
                  <c:v>#N/A</c:v>
                </c:pt>
                <c:pt idx="46">
                  <c:v>9.1350000000000001E-2</c:v>
                </c:pt>
                <c:pt idx="47">
                  <c:v>6.8000000000000005E-3</c:v>
                </c:pt>
                <c:pt idx="48">
                  <c:v>2.1170000000000001E-2</c:v>
                </c:pt>
                <c:pt idx="49">
                  <c:v>1.1165000000000001E-2</c:v>
                </c:pt>
                <c:pt idx="50">
                  <c:v>3.2000000000000006E-3</c:v>
                </c:pt>
                <c:pt idx="51">
                  <c:v>0.81649999999999989</c:v>
                </c:pt>
                <c:pt idx="52">
                  <c:v>#N/A</c:v>
                </c:pt>
                <c:pt idx="53">
                  <c:v>#N/A</c:v>
                </c:pt>
                <c:pt idx="54">
                  <c:v>2.516E-3</c:v>
                </c:pt>
                <c:pt idx="55">
                  <c:v>#N/A</c:v>
                </c:pt>
                <c:pt idx="56">
                  <c:v>#N/A</c:v>
                </c:pt>
                <c:pt idx="57">
                  <c:v>#N/A</c:v>
                </c:pt>
                <c:pt idx="58">
                  <c:v>33.6</c:v>
                </c:pt>
                <c:pt idx="59">
                  <c:v>16</c:v>
                </c:pt>
                <c:pt idx="60">
                  <c:v>19.779999999999998</c:v>
                </c:pt>
                <c:pt idx="61">
                  <c:v>6.7320000000000001E-3</c:v>
                </c:pt>
                <c:pt idx="62">
                  <c:v>1.8919999999999999E-2</c:v>
                </c:pt>
                <c:pt idx="63">
                  <c:v>1.3260000000000001E-3</c:v>
                </c:pt>
                <c:pt idx="64">
                  <c:v>#N/A</c:v>
                </c:pt>
                <c:pt idx="65">
                  <c:v>2.9970000000000004E-2</c:v>
                </c:pt>
                <c:pt idx="66">
                  <c:v>6.7650000000000005E-5</c:v>
                </c:pt>
                <c:pt idx="67">
                  <c:v>2.0276000000000002E-2</c:v>
                </c:pt>
                <c:pt idx="68">
                  <c:v>#N/A</c:v>
                </c:pt>
                <c:pt idx="69">
                  <c:v>3.8809</c:v>
                </c:pt>
                <c:pt idx="70">
                  <c:v>2.9240999999999997</c:v>
                </c:pt>
                <c:pt idx="71">
                  <c:v>100</c:v>
                </c:pt>
                <c:pt idx="72">
                  <c:v>#N/A</c:v>
                </c:pt>
                <c:pt idx="73">
                  <c:v>#N/A</c:v>
                </c:pt>
                <c:pt idx="74">
                  <c:v>13.181999999999999</c:v>
                </c:pt>
                <c:pt idx="75">
                  <c:v>#N/A</c:v>
                </c:pt>
                <c:pt idx="76">
                  <c:v>9.5947999999999993</c:v>
                </c:pt>
                <c:pt idx="77">
                  <c:v>331.5</c:v>
                </c:pt>
                <c:pt idx="78">
                  <c:v>5.4880000000000007E-3</c:v>
                </c:pt>
                <c:pt idx="79">
                  <c:v>4.6420000000000003</c:v>
                </c:pt>
                <c:pt idx="80">
                  <c:v>2.2800000000000002</c:v>
                </c:pt>
                <c:pt idx="81">
                  <c:v>2.2800000000000002</c:v>
                </c:pt>
                <c:pt idx="82">
                  <c:v>2.2800000000000002</c:v>
                </c:pt>
                <c:pt idx="83">
                  <c:v>4.7300000000000009E-2</c:v>
                </c:pt>
                <c:pt idx="84">
                  <c:v>#N/A</c:v>
                </c:pt>
                <c:pt idx="85">
                  <c:v>2.25</c:v>
                </c:pt>
                <c:pt idx="86">
                  <c:v>2.25</c:v>
                </c:pt>
                <c:pt idx="87">
                  <c:v>3.2768000000000002</c:v>
                </c:pt>
                <c:pt idx="88">
                  <c:v>2.5092E-2</c:v>
                </c:pt>
                <c:pt idx="89">
                  <c:v>#N/A</c:v>
                </c:pt>
                <c:pt idx="90">
                  <c:v>#N/A</c:v>
                </c:pt>
                <c:pt idx="91">
                  <c:v>#N/A</c:v>
                </c:pt>
                <c:pt idx="92">
                  <c:v>#N/A</c:v>
                </c:pt>
                <c:pt idx="93">
                  <c:v>#N/A</c:v>
                </c:pt>
                <c:pt idx="94">
                  <c:v>4.2635999999999993E-3</c:v>
                </c:pt>
                <c:pt idx="95">
                  <c:v>#N/A</c:v>
                </c:pt>
                <c:pt idx="96">
                  <c:v>#N/A</c:v>
                </c:pt>
                <c:pt idx="97">
                  <c:v>31.359999999999996</c:v>
                </c:pt>
                <c:pt idx="98">
                  <c:v>9</c:v>
                </c:pt>
                <c:pt idx="99">
                  <c:v>9</c:v>
                </c:pt>
                <c:pt idx="100">
                  <c:v>#N/A</c:v>
                </c:pt>
                <c:pt idx="101">
                  <c:v>6.1419999999999999E-3</c:v>
                </c:pt>
                <c:pt idx="102">
                  <c:v>1364</c:v>
                </c:pt>
                <c:pt idx="103">
                  <c:v>6.2744000000000009</c:v>
                </c:pt>
                <c:pt idx="104">
                  <c:v>6.2744000000000009</c:v>
                </c:pt>
                <c:pt idx="105">
                  <c:v>#N/A</c:v>
                </c:pt>
                <c:pt idx="106">
                  <c:v>5.5999999999999991E-3</c:v>
                </c:pt>
                <c:pt idx="107">
                  <c:v>2.2349999999999998E-2</c:v>
                </c:pt>
                <c:pt idx="108">
                  <c:v>0.18489999999999998</c:v>
                </c:pt>
                <c:pt idx="109">
                  <c:v>0.18489999999999998</c:v>
                </c:pt>
                <c:pt idx="110">
                  <c:v>18.0625</c:v>
                </c:pt>
                <c:pt idx="111">
                  <c:v>0.17361111111111113</c:v>
                </c:pt>
                <c:pt idx="112">
                  <c:v>0.17361111111111113</c:v>
                </c:pt>
                <c:pt idx="113">
                  <c:v>#N/A</c:v>
                </c:pt>
                <c:pt idx="114">
                  <c:v>#N/A</c:v>
                </c:pt>
                <c:pt idx="115">
                  <c:v>#N/A</c:v>
                </c:pt>
                <c:pt idx="116">
                  <c:v>#N/A</c:v>
                </c:pt>
                <c:pt idx="117">
                  <c:v>#N/A</c:v>
                </c:pt>
                <c:pt idx="118">
                  <c:v>#N/A</c:v>
                </c:pt>
                <c:pt idx="119">
                  <c:v>#N/A</c:v>
                </c:pt>
                <c:pt idx="120">
                  <c:v>#N/A</c:v>
                </c:pt>
                <c:pt idx="121">
                  <c:v>#N/A</c:v>
                </c:pt>
                <c:pt idx="122">
                  <c:v>#N/A</c:v>
                </c:pt>
                <c:pt idx="123">
                  <c:v>6.72</c:v>
                </c:pt>
                <c:pt idx="124">
                  <c:v>13.831999999999999</c:v>
                </c:pt>
                <c:pt idx="125">
                  <c:v>13.831999999999999</c:v>
                </c:pt>
                <c:pt idx="126">
                  <c:v>#N/A</c:v>
                </c:pt>
                <c:pt idx="127">
                  <c:v>0.23520000000000002</c:v>
                </c:pt>
                <c:pt idx="128">
                  <c:v>#N/A</c:v>
                </c:pt>
                <c:pt idx="129">
                  <c:v>#N/A</c:v>
                </c:pt>
                <c:pt idx="130">
                  <c:v>#N/A</c:v>
                </c:pt>
                <c:pt idx="131">
                  <c:v>2.7000000000000003E-2</c:v>
                </c:pt>
                <c:pt idx="132">
                  <c:v>#N/A</c:v>
                </c:pt>
                <c:pt idx="133">
                  <c:v>#N/A</c:v>
                </c:pt>
                <c:pt idx="134">
                  <c:v>6.2410000000000009E-3</c:v>
                </c:pt>
                <c:pt idx="135">
                  <c:v>#N/A</c:v>
                </c:pt>
                <c:pt idx="136">
                  <c:v>#N/A</c:v>
                </c:pt>
                <c:pt idx="137">
                  <c:v>#N/A</c:v>
                </c:pt>
                <c:pt idx="138">
                  <c:v>2.8365000000000001E-2</c:v>
                </c:pt>
                <c:pt idx="139">
                  <c:v>#N/A</c:v>
                </c:pt>
                <c:pt idx="140">
                  <c:v>6.5198999999999989</c:v>
                </c:pt>
                <c:pt idx="141">
                  <c:v>0.9376000000000001</c:v>
                </c:pt>
                <c:pt idx="142">
                  <c:v>#N/A</c:v>
                </c:pt>
                <c:pt idx="143">
                  <c:v>#N/A</c:v>
                </c:pt>
                <c:pt idx="144">
                  <c:v>0.75529999999999997</c:v>
                </c:pt>
                <c:pt idx="145">
                  <c:v>#N/A</c:v>
                </c:pt>
              </c:numCache>
            </c:numRef>
          </c:xVal>
          <c:yVal>
            <c:numRef>
              <c:f>Plot_Data_Power!$M$2:$M$147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3.0856014994955099</c:v>
                </c:pt>
                <c:pt idx="21">
                  <c:v>#N/A</c:v>
                </c:pt>
                <c:pt idx="22">
                  <c:v>#N/A</c:v>
                </c:pt>
                <c:pt idx="23">
                  <c:v>#N/A</c:v>
                </c:pt>
                <c:pt idx="24">
                  <c:v>#N/A</c:v>
                </c:pt>
                <c:pt idx="25">
                  <c:v>#N/A</c:v>
                </c:pt>
                <c:pt idx="26">
                  <c:v>#N/A</c:v>
                </c:pt>
                <c:pt idx="27">
                  <c:v>#N/A</c:v>
                </c:pt>
                <c:pt idx="28">
                  <c:v>27.909849238995349</c:v>
                </c:pt>
                <c:pt idx="29">
                  <c:v>#N/A</c:v>
                </c:pt>
                <c:pt idx="30">
                  <c:v>#N/A</c:v>
                </c:pt>
                <c:pt idx="31">
                  <c:v>#N/A</c:v>
                </c:pt>
                <c:pt idx="32">
                  <c:v>#N/A</c:v>
                </c:pt>
                <c:pt idx="33">
                  <c:v>7.2040599657323385</c:v>
                </c:pt>
                <c:pt idx="34">
                  <c:v>#N/A</c:v>
                </c:pt>
                <c:pt idx="35">
                  <c:v>#N/A</c:v>
                </c:pt>
                <c:pt idx="36">
                  <c:v>#N/A</c:v>
                </c:pt>
                <c:pt idx="37">
                  <c:v>#N/A</c:v>
                </c:pt>
                <c:pt idx="38">
                  <c:v>#N/A</c:v>
                </c:pt>
                <c:pt idx="39">
                  <c:v>#N/A</c:v>
                </c:pt>
                <c:pt idx="40">
                  <c:v>#N/A</c:v>
                </c:pt>
                <c:pt idx="41">
                  <c:v>#N/A</c:v>
                </c:pt>
                <c:pt idx="42">
                  <c:v>#N/A</c:v>
                </c:pt>
                <c:pt idx="43">
                  <c:v>#N/A</c:v>
                </c:pt>
                <c:pt idx="44">
                  <c:v>9.4616903795620217</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12.841018132128113</c:v>
                </c:pt>
                <c:pt idx="59">
                  <c:v>#N/A</c:v>
                </c:pt>
                <c:pt idx="60">
                  <c:v>11.709034428044061</c:v>
                </c:pt>
                <c:pt idx="61">
                  <c:v>#N/A</c:v>
                </c:pt>
                <c:pt idx="62">
                  <c:v>#N/A</c:v>
                </c:pt>
                <c:pt idx="63">
                  <c:v>#N/A</c:v>
                </c:pt>
                <c:pt idx="64">
                  <c:v>#N/A</c:v>
                </c:pt>
                <c:pt idx="65">
                  <c:v>#N/A</c:v>
                </c:pt>
                <c:pt idx="66">
                  <c:v>#N/A</c:v>
                </c:pt>
                <c:pt idx="67">
                  <c:v>#N/A</c:v>
                </c:pt>
                <c:pt idx="68">
                  <c:v>#N/A</c:v>
                </c:pt>
                <c:pt idx="69">
                  <c:v>#N/A</c:v>
                </c:pt>
                <c:pt idx="70">
                  <c:v>#N/A</c:v>
                </c:pt>
                <c:pt idx="71">
                  <c:v>#N/A</c:v>
                </c:pt>
                <c:pt idx="72">
                  <c:v>#N/A</c:v>
                </c:pt>
                <c:pt idx="73">
                  <c:v>8.7718255691454807</c:v>
                </c:pt>
                <c:pt idx="74">
                  <c:v>#N/A</c:v>
                </c:pt>
                <c:pt idx="75">
                  <c:v>#N/A</c:v>
                </c:pt>
                <c:pt idx="76">
                  <c:v>#N/A</c:v>
                </c:pt>
                <c:pt idx="77">
                  <c:v>#N/A</c:v>
                </c:pt>
                <c:pt idx="78">
                  <c:v>#N/A</c:v>
                </c:pt>
                <c:pt idx="79">
                  <c:v>21.031911482673149</c:v>
                </c:pt>
                <c:pt idx="80">
                  <c:v>#N/A</c:v>
                </c:pt>
                <c:pt idx="81">
                  <c:v>11.536126012506429</c:v>
                </c:pt>
                <c:pt idx="82">
                  <c:v>#N/A</c:v>
                </c:pt>
                <c:pt idx="83">
                  <c:v>#N/A</c:v>
                </c:pt>
                <c:pt idx="84">
                  <c:v>#N/A</c:v>
                </c:pt>
                <c:pt idx="85">
                  <c:v>#N/A</c:v>
                </c:pt>
                <c:pt idx="86">
                  <c:v>#N/A</c:v>
                </c:pt>
                <c:pt idx="87">
                  <c:v>#N/A</c:v>
                </c:pt>
                <c:pt idx="88">
                  <c:v>#N/A</c:v>
                </c:pt>
                <c:pt idx="89">
                  <c:v>8.4480042964843136</c:v>
                </c:pt>
                <c:pt idx="90">
                  <c:v>5.7632479725858694</c:v>
                </c:pt>
                <c:pt idx="91">
                  <c:v>#N/A</c:v>
                </c:pt>
                <c:pt idx="92">
                  <c:v>#N/A</c:v>
                </c:pt>
                <c:pt idx="93">
                  <c:v>#N/A</c:v>
                </c:pt>
                <c:pt idx="94">
                  <c:v>#N/A</c:v>
                </c:pt>
                <c:pt idx="95">
                  <c:v>#N/A</c:v>
                </c:pt>
                <c:pt idx="96">
                  <c:v>#N/A</c:v>
                </c:pt>
                <c:pt idx="97">
                  <c:v>#N/A</c:v>
                </c:pt>
                <c:pt idx="98">
                  <c:v>#N/A</c:v>
                </c:pt>
                <c:pt idx="99">
                  <c:v>#N/A</c:v>
                </c:pt>
                <c:pt idx="100">
                  <c:v>23.196961194124789</c:v>
                </c:pt>
                <c:pt idx="101">
                  <c:v>#N/A</c:v>
                </c:pt>
                <c:pt idx="102">
                  <c:v>#N/A</c:v>
                </c:pt>
                <c:pt idx="103">
                  <c:v>8.6883116958769921E-2</c:v>
                </c:pt>
                <c:pt idx="104">
                  <c:v>8.6883116958769921E-2</c:v>
                </c:pt>
                <c:pt idx="105">
                  <c:v>6.1538461538461515</c:v>
                </c:pt>
                <c:pt idx="106">
                  <c:v>#N/A</c:v>
                </c:pt>
                <c:pt idx="107">
                  <c:v>#N/A</c:v>
                </c:pt>
                <c:pt idx="108">
                  <c:v>#N/A</c:v>
                </c:pt>
                <c:pt idx="109">
                  <c:v>#N/A</c:v>
                </c:pt>
                <c:pt idx="110">
                  <c:v>23.311034122198723</c:v>
                </c:pt>
                <c:pt idx="111">
                  <c:v>#N/A</c:v>
                </c:pt>
                <c:pt idx="112">
                  <c:v>#N/A</c:v>
                </c:pt>
                <c:pt idx="113">
                  <c:v>25.862110474144512</c:v>
                </c:pt>
                <c:pt idx="114">
                  <c:v>#N/A</c:v>
                </c:pt>
                <c:pt idx="115">
                  <c:v>#N/A</c:v>
                </c:pt>
                <c:pt idx="116">
                  <c:v>#N/A</c:v>
                </c:pt>
                <c:pt idx="117">
                  <c:v>#N/A</c:v>
                </c:pt>
                <c:pt idx="118">
                  <c:v>#N/A</c:v>
                </c:pt>
                <c:pt idx="119">
                  <c:v>#N/A</c:v>
                </c:pt>
                <c:pt idx="120">
                  <c:v>#N/A</c:v>
                </c:pt>
                <c:pt idx="121">
                  <c:v>#N/A</c:v>
                </c:pt>
                <c:pt idx="122">
                  <c:v>27.409770378233802</c:v>
                </c:pt>
                <c:pt idx="123">
                  <c:v>#N/A</c:v>
                </c:pt>
                <c:pt idx="124">
                  <c:v>#N/A</c:v>
                </c:pt>
                <c:pt idx="125">
                  <c:v>4.2637208011698107</c:v>
                </c:pt>
                <c:pt idx="126">
                  <c:v>19.309629766882882</c:v>
                </c:pt>
                <c:pt idx="127">
                  <c:v>#N/A</c:v>
                </c:pt>
                <c:pt idx="128">
                  <c:v>#N/A</c:v>
                </c:pt>
                <c:pt idx="129">
                  <c:v>#N/A</c:v>
                </c:pt>
                <c:pt idx="130">
                  <c:v>#N/A</c:v>
                </c:pt>
                <c:pt idx="131">
                  <c:v>#N/A</c:v>
                </c:pt>
                <c:pt idx="132">
                  <c:v>#N/A</c:v>
                </c:pt>
                <c:pt idx="133">
                  <c:v>#N/A</c:v>
                </c:pt>
                <c:pt idx="134">
                  <c:v>#N/A</c:v>
                </c:pt>
                <c:pt idx="135">
                  <c:v>9.6240601503759393</c:v>
                </c:pt>
                <c:pt idx="136">
                  <c:v>#N/A</c:v>
                </c:pt>
                <c:pt idx="137">
                  <c:v>#N/A</c:v>
                </c:pt>
                <c:pt idx="138">
                  <c:v>#N/A</c:v>
                </c:pt>
                <c:pt idx="139">
                  <c:v>19.253882782690258</c:v>
                </c:pt>
                <c:pt idx="140">
                  <c:v>#N/A</c:v>
                </c:pt>
                <c:pt idx="141">
                  <c:v>7.1259368391745719</c:v>
                </c:pt>
                <c:pt idx="142">
                  <c:v>0.42272506673069504</c:v>
                </c:pt>
                <c:pt idx="143">
                  <c:v>#N/A</c:v>
                </c:pt>
                <c:pt idx="144">
                  <c:v>#N/A</c:v>
                </c:pt>
                <c:pt idx="145">
                  <c:v>#N/A</c:v>
                </c:pt>
              </c:numCache>
            </c:numRef>
          </c:yVal>
          <c:smooth val="0"/>
          <c:extLst>
            <c:ext xmlns:c16="http://schemas.microsoft.com/office/drawing/2014/chart" uri="{C3380CC4-5D6E-409C-BE32-E72D297353CC}">
              <c16:uniqueId val="{00000001-CC2F-4E0D-8C06-0F0F34944392}"/>
            </c:ext>
          </c:extLst>
        </c:ser>
        <c:ser>
          <c:idx val="2"/>
          <c:order val="2"/>
          <c:tx>
            <c:strRef>
              <c:f>Plot_Data_Power!$N$1</c:f>
              <c:strCache>
                <c:ptCount val="1"/>
                <c:pt idx="0">
                  <c:v>50-75GHz</c:v>
                </c:pt>
              </c:strCache>
            </c:strRef>
          </c:tx>
          <c:spPr>
            <a:ln w="25400" cap="rnd">
              <a:noFill/>
              <a:round/>
            </a:ln>
            <a:effectLst/>
          </c:spPr>
          <c:marker>
            <c:symbol val="circle"/>
            <c:size val="7"/>
            <c:spPr>
              <a:solidFill>
                <a:srgbClr val="00B050">
                  <a:alpha val="50000"/>
                </a:srgbClr>
              </a:solidFill>
              <a:ln w="9525">
                <a:noFill/>
              </a:ln>
              <a:effectLst/>
            </c:spPr>
          </c:marker>
          <c:xVal>
            <c:numRef>
              <c:f>Plot_Data_Power!$E$2:$E$147</c:f>
              <c:numCache>
                <c:formatCode>General</c:formatCode>
                <c:ptCount val="146"/>
                <c:pt idx="0">
                  <c:v>7.839999999999999</c:v>
                </c:pt>
                <c:pt idx="1">
                  <c:v>#N/A</c:v>
                </c:pt>
                <c:pt idx="2">
                  <c:v>#N/A</c:v>
                </c:pt>
                <c:pt idx="3">
                  <c:v>7.839999999999999</c:v>
                </c:pt>
                <c:pt idx="4">
                  <c:v>0.234207</c:v>
                </c:pt>
                <c:pt idx="5">
                  <c:v>78.539816339744846</c:v>
                </c:pt>
                <c:pt idx="6">
                  <c:v>78.539816339744846</c:v>
                </c:pt>
                <c:pt idx="7">
                  <c:v>824.47957600810525</c:v>
                </c:pt>
                <c:pt idx="8">
                  <c:v>6.25</c:v>
                </c:pt>
                <c:pt idx="9">
                  <c:v>1.5625</c:v>
                </c:pt>
                <c:pt idx="10">
                  <c:v>#N/A</c:v>
                </c:pt>
                <c:pt idx="11">
                  <c:v>400</c:v>
                </c:pt>
                <c:pt idx="12">
                  <c:v>2.8080000000000004E-2</c:v>
                </c:pt>
                <c:pt idx="13">
                  <c:v>#N/A</c:v>
                </c:pt>
                <c:pt idx="14">
                  <c:v>0.64800000000000002</c:v>
                </c:pt>
                <c:pt idx="15">
                  <c:v>0.64800000000000002</c:v>
                </c:pt>
                <c:pt idx="16">
                  <c:v>110.25</c:v>
                </c:pt>
                <c:pt idx="17">
                  <c:v>8.6999999999999994E-2</c:v>
                </c:pt>
                <c:pt idx="18">
                  <c:v>4.7080000000000011</c:v>
                </c:pt>
                <c:pt idx="19">
                  <c:v>17.387999999999998</c:v>
                </c:pt>
                <c:pt idx="20">
                  <c:v>#N/A</c:v>
                </c:pt>
                <c:pt idx="21">
                  <c:v>#N/A</c:v>
                </c:pt>
                <c:pt idx="22">
                  <c:v>#N/A</c:v>
                </c:pt>
                <c:pt idx="23">
                  <c:v>4.1159999999999999E-3</c:v>
                </c:pt>
                <c:pt idx="24">
                  <c:v>#N/A</c:v>
                </c:pt>
                <c:pt idx="25">
                  <c:v>#N/A</c:v>
                </c:pt>
                <c:pt idx="26">
                  <c:v>#N/A</c:v>
                </c:pt>
                <c:pt idx="27">
                  <c:v>#N/A</c:v>
                </c:pt>
                <c:pt idx="28">
                  <c:v>#N/A</c:v>
                </c:pt>
                <c:pt idx="29">
                  <c:v>18.950400000000005</c:v>
                </c:pt>
                <c:pt idx="30">
                  <c:v>1.0302249999999997</c:v>
                </c:pt>
                <c:pt idx="31">
                  <c:v>1.0302249999999997</c:v>
                </c:pt>
                <c:pt idx="32">
                  <c:v>11.626500000000002</c:v>
                </c:pt>
                <c:pt idx="33">
                  <c:v>18.431999999999999</c:v>
                </c:pt>
                <c:pt idx="34">
                  <c:v>2.5600000000000005</c:v>
                </c:pt>
                <c:pt idx="35">
                  <c:v>2.5600000000000005</c:v>
                </c:pt>
                <c:pt idx="36">
                  <c:v>151.20000000000002</c:v>
                </c:pt>
                <c:pt idx="37">
                  <c:v>6.2495999999999989E-2</c:v>
                </c:pt>
                <c:pt idx="38">
                  <c:v>#N/A</c:v>
                </c:pt>
                <c:pt idx="39">
                  <c:v>#N/A</c:v>
                </c:pt>
                <c:pt idx="40">
                  <c:v>2.4300000000000002</c:v>
                </c:pt>
                <c:pt idx="41">
                  <c:v>#N/A</c:v>
                </c:pt>
                <c:pt idx="42">
                  <c:v>#N/A</c:v>
                </c:pt>
                <c:pt idx="43">
                  <c:v>#N/A</c:v>
                </c:pt>
                <c:pt idx="44">
                  <c:v>9.6187500000000004</c:v>
                </c:pt>
                <c:pt idx="45">
                  <c:v>#N/A</c:v>
                </c:pt>
                <c:pt idx="46">
                  <c:v>9.1350000000000001E-2</c:v>
                </c:pt>
                <c:pt idx="47">
                  <c:v>6.8000000000000005E-3</c:v>
                </c:pt>
                <c:pt idx="48">
                  <c:v>2.1170000000000001E-2</c:v>
                </c:pt>
                <c:pt idx="49">
                  <c:v>1.1165000000000001E-2</c:v>
                </c:pt>
                <c:pt idx="50">
                  <c:v>3.2000000000000006E-3</c:v>
                </c:pt>
                <c:pt idx="51">
                  <c:v>0.81649999999999989</c:v>
                </c:pt>
                <c:pt idx="52">
                  <c:v>#N/A</c:v>
                </c:pt>
                <c:pt idx="53">
                  <c:v>#N/A</c:v>
                </c:pt>
                <c:pt idx="54">
                  <c:v>2.516E-3</c:v>
                </c:pt>
                <c:pt idx="55">
                  <c:v>#N/A</c:v>
                </c:pt>
                <c:pt idx="56">
                  <c:v>#N/A</c:v>
                </c:pt>
                <c:pt idx="57">
                  <c:v>#N/A</c:v>
                </c:pt>
                <c:pt idx="58">
                  <c:v>33.6</c:v>
                </c:pt>
                <c:pt idx="59">
                  <c:v>16</c:v>
                </c:pt>
                <c:pt idx="60">
                  <c:v>19.779999999999998</c:v>
                </c:pt>
                <c:pt idx="61">
                  <c:v>6.7320000000000001E-3</c:v>
                </c:pt>
                <c:pt idx="62">
                  <c:v>1.8919999999999999E-2</c:v>
                </c:pt>
                <c:pt idx="63">
                  <c:v>1.3260000000000001E-3</c:v>
                </c:pt>
                <c:pt idx="64">
                  <c:v>#N/A</c:v>
                </c:pt>
                <c:pt idx="65">
                  <c:v>2.9970000000000004E-2</c:v>
                </c:pt>
                <c:pt idx="66">
                  <c:v>6.7650000000000005E-5</c:v>
                </c:pt>
                <c:pt idx="67">
                  <c:v>2.0276000000000002E-2</c:v>
                </c:pt>
                <c:pt idx="68">
                  <c:v>#N/A</c:v>
                </c:pt>
                <c:pt idx="69">
                  <c:v>3.8809</c:v>
                </c:pt>
                <c:pt idx="70">
                  <c:v>2.9240999999999997</c:v>
                </c:pt>
                <c:pt idx="71">
                  <c:v>100</c:v>
                </c:pt>
                <c:pt idx="72">
                  <c:v>#N/A</c:v>
                </c:pt>
                <c:pt idx="73">
                  <c:v>#N/A</c:v>
                </c:pt>
                <c:pt idx="74">
                  <c:v>13.181999999999999</c:v>
                </c:pt>
                <c:pt idx="75">
                  <c:v>#N/A</c:v>
                </c:pt>
                <c:pt idx="76">
                  <c:v>9.5947999999999993</c:v>
                </c:pt>
                <c:pt idx="77">
                  <c:v>331.5</c:v>
                </c:pt>
                <c:pt idx="78">
                  <c:v>5.4880000000000007E-3</c:v>
                </c:pt>
                <c:pt idx="79">
                  <c:v>4.6420000000000003</c:v>
                </c:pt>
                <c:pt idx="80">
                  <c:v>2.2800000000000002</c:v>
                </c:pt>
                <c:pt idx="81">
                  <c:v>2.2800000000000002</c:v>
                </c:pt>
                <c:pt idx="82">
                  <c:v>2.2800000000000002</c:v>
                </c:pt>
                <c:pt idx="83">
                  <c:v>4.7300000000000009E-2</c:v>
                </c:pt>
                <c:pt idx="84">
                  <c:v>#N/A</c:v>
                </c:pt>
                <c:pt idx="85">
                  <c:v>2.25</c:v>
                </c:pt>
                <c:pt idx="86">
                  <c:v>2.25</c:v>
                </c:pt>
                <c:pt idx="87">
                  <c:v>3.2768000000000002</c:v>
                </c:pt>
                <c:pt idx="88">
                  <c:v>2.5092E-2</c:v>
                </c:pt>
                <c:pt idx="89">
                  <c:v>#N/A</c:v>
                </c:pt>
                <c:pt idx="90">
                  <c:v>#N/A</c:v>
                </c:pt>
                <c:pt idx="91">
                  <c:v>#N/A</c:v>
                </c:pt>
                <c:pt idx="92">
                  <c:v>#N/A</c:v>
                </c:pt>
                <c:pt idx="93">
                  <c:v>#N/A</c:v>
                </c:pt>
                <c:pt idx="94">
                  <c:v>4.2635999999999993E-3</c:v>
                </c:pt>
                <c:pt idx="95">
                  <c:v>#N/A</c:v>
                </c:pt>
                <c:pt idx="96">
                  <c:v>#N/A</c:v>
                </c:pt>
                <c:pt idx="97">
                  <c:v>31.359999999999996</c:v>
                </c:pt>
                <c:pt idx="98">
                  <c:v>9</c:v>
                </c:pt>
                <c:pt idx="99">
                  <c:v>9</c:v>
                </c:pt>
                <c:pt idx="100">
                  <c:v>#N/A</c:v>
                </c:pt>
                <c:pt idx="101">
                  <c:v>6.1419999999999999E-3</c:v>
                </c:pt>
                <c:pt idx="102">
                  <c:v>1364</c:v>
                </c:pt>
                <c:pt idx="103">
                  <c:v>6.2744000000000009</c:v>
                </c:pt>
                <c:pt idx="104">
                  <c:v>6.2744000000000009</c:v>
                </c:pt>
                <c:pt idx="105">
                  <c:v>#N/A</c:v>
                </c:pt>
                <c:pt idx="106">
                  <c:v>5.5999999999999991E-3</c:v>
                </c:pt>
                <c:pt idx="107">
                  <c:v>2.2349999999999998E-2</c:v>
                </c:pt>
                <c:pt idx="108">
                  <c:v>0.18489999999999998</c:v>
                </c:pt>
                <c:pt idx="109">
                  <c:v>0.18489999999999998</c:v>
                </c:pt>
                <c:pt idx="110">
                  <c:v>18.0625</c:v>
                </c:pt>
                <c:pt idx="111">
                  <c:v>0.17361111111111113</c:v>
                </c:pt>
                <c:pt idx="112">
                  <c:v>0.17361111111111113</c:v>
                </c:pt>
                <c:pt idx="113">
                  <c:v>#N/A</c:v>
                </c:pt>
                <c:pt idx="114">
                  <c:v>#N/A</c:v>
                </c:pt>
                <c:pt idx="115">
                  <c:v>#N/A</c:v>
                </c:pt>
                <c:pt idx="116">
                  <c:v>#N/A</c:v>
                </c:pt>
                <c:pt idx="117">
                  <c:v>#N/A</c:v>
                </c:pt>
                <c:pt idx="118">
                  <c:v>#N/A</c:v>
                </c:pt>
                <c:pt idx="119">
                  <c:v>#N/A</c:v>
                </c:pt>
                <c:pt idx="120">
                  <c:v>#N/A</c:v>
                </c:pt>
                <c:pt idx="121">
                  <c:v>#N/A</c:v>
                </c:pt>
                <c:pt idx="122">
                  <c:v>#N/A</c:v>
                </c:pt>
                <c:pt idx="123">
                  <c:v>6.72</c:v>
                </c:pt>
                <c:pt idx="124">
                  <c:v>13.831999999999999</c:v>
                </c:pt>
                <c:pt idx="125">
                  <c:v>13.831999999999999</c:v>
                </c:pt>
                <c:pt idx="126">
                  <c:v>#N/A</c:v>
                </c:pt>
                <c:pt idx="127">
                  <c:v>0.23520000000000002</c:v>
                </c:pt>
                <c:pt idx="128">
                  <c:v>#N/A</c:v>
                </c:pt>
                <c:pt idx="129">
                  <c:v>#N/A</c:v>
                </c:pt>
                <c:pt idx="130">
                  <c:v>#N/A</c:v>
                </c:pt>
                <c:pt idx="131">
                  <c:v>2.7000000000000003E-2</c:v>
                </c:pt>
                <c:pt idx="132">
                  <c:v>#N/A</c:v>
                </c:pt>
                <c:pt idx="133">
                  <c:v>#N/A</c:v>
                </c:pt>
                <c:pt idx="134">
                  <c:v>6.2410000000000009E-3</c:v>
                </c:pt>
                <c:pt idx="135">
                  <c:v>#N/A</c:v>
                </c:pt>
                <c:pt idx="136">
                  <c:v>#N/A</c:v>
                </c:pt>
                <c:pt idx="137">
                  <c:v>#N/A</c:v>
                </c:pt>
                <c:pt idx="138">
                  <c:v>2.8365000000000001E-2</c:v>
                </c:pt>
                <c:pt idx="139">
                  <c:v>#N/A</c:v>
                </c:pt>
                <c:pt idx="140">
                  <c:v>6.5198999999999989</c:v>
                </c:pt>
                <c:pt idx="141">
                  <c:v>0.9376000000000001</c:v>
                </c:pt>
                <c:pt idx="142">
                  <c:v>#N/A</c:v>
                </c:pt>
                <c:pt idx="143">
                  <c:v>#N/A</c:v>
                </c:pt>
                <c:pt idx="144">
                  <c:v>0.75529999999999997</c:v>
                </c:pt>
                <c:pt idx="145">
                  <c:v>#N/A</c:v>
                </c:pt>
              </c:numCache>
            </c:numRef>
          </c:xVal>
          <c:yVal>
            <c:numRef>
              <c:f>Plot_Data_Power!$N$2:$N$147</c:f>
              <c:numCache>
                <c:formatCode>General</c:formatCode>
                <c:ptCount val="146"/>
                <c:pt idx="0">
                  <c:v>3.583739108220537</c:v>
                </c:pt>
                <c:pt idx="1">
                  <c:v>#N/A</c:v>
                </c:pt>
                <c:pt idx="2">
                  <c:v>#N/A</c:v>
                </c:pt>
                <c:pt idx="3">
                  <c:v>#N/A</c:v>
                </c:pt>
                <c:pt idx="4">
                  <c:v>#N/A</c:v>
                </c:pt>
                <c:pt idx="5">
                  <c:v>#N/A</c:v>
                </c:pt>
                <c:pt idx="6">
                  <c:v>#N/A</c:v>
                </c:pt>
                <c:pt idx="7">
                  <c:v>#N/A</c:v>
                </c:pt>
                <c:pt idx="8">
                  <c:v>2.6352313834736503</c:v>
                </c:pt>
                <c:pt idx="9">
                  <c:v>#N/A</c:v>
                </c:pt>
                <c:pt idx="10">
                  <c:v>#N/A</c:v>
                </c:pt>
                <c:pt idx="11">
                  <c:v>#N/A</c:v>
                </c:pt>
                <c:pt idx="12">
                  <c:v>#N/A</c:v>
                </c:pt>
                <c:pt idx="13">
                  <c:v>#N/A</c:v>
                </c:pt>
                <c:pt idx="14">
                  <c:v>#N/A</c:v>
                </c:pt>
                <c:pt idx="15">
                  <c:v>#N/A</c:v>
                </c:pt>
                <c:pt idx="16">
                  <c:v>#N/A</c:v>
                </c:pt>
                <c:pt idx="17">
                  <c:v>#N/A</c:v>
                </c:pt>
                <c:pt idx="18">
                  <c:v>1.824239830828692</c:v>
                </c:pt>
                <c:pt idx="19">
                  <c:v>1.5962098519751045</c:v>
                </c:pt>
                <c:pt idx="20">
                  <c:v>#N/A</c:v>
                </c:pt>
                <c:pt idx="21">
                  <c:v>#N/A</c:v>
                </c:pt>
                <c:pt idx="22">
                  <c:v>#N/A</c:v>
                </c:pt>
                <c:pt idx="23">
                  <c:v>#N/A</c:v>
                </c:pt>
                <c:pt idx="24">
                  <c:v>#N/A</c:v>
                </c:pt>
                <c:pt idx="25">
                  <c:v>#N/A</c:v>
                </c:pt>
                <c:pt idx="26">
                  <c:v>#N/A</c:v>
                </c:pt>
                <c:pt idx="27">
                  <c:v>#N/A</c:v>
                </c:pt>
                <c:pt idx="28">
                  <c:v>#N/A</c:v>
                </c:pt>
                <c:pt idx="29">
                  <c:v>1.7142857142857162</c:v>
                </c:pt>
                <c:pt idx="30">
                  <c:v>#N/A</c:v>
                </c:pt>
                <c:pt idx="31">
                  <c:v>#N/A</c:v>
                </c:pt>
                <c:pt idx="32">
                  <c:v>#N/A</c:v>
                </c:pt>
                <c:pt idx="33">
                  <c:v>#N/A</c:v>
                </c:pt>
                <c:pt idx="34">
                  <c:v>#N/A</c:v>
                </c:pt>
                <c:pt idx="35">
                  <c:v>#N/A</c:v>
                </c:pt>
                <c:pt idx="36">
                  <c:v>#N/A</c:v>
                </c:pt>
                <c:pt idx="37">
                  <c:v>#N/A</c:v>
                </c:pt>
                <c:pt idx="38">
                  <c:v>#N/A</c:v>
                </c:pt>
                <c:pt idx="39">
                  <c:v>#N/A</c:v>
                </c:pt>
                <c:pt idx="40">
                  <c:v>4.2632253005418503</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14.925373134328357</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9.818835662740133</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2-CC2F-4E0D-8C06-0F0F34944392}"/>
            </c:ext>
          </c:extLst>
        </c:ser>
        <c:ser>
          <c:idx val="3"/>
          <c:order val="3"/>
          <c:tx>
            <c:strRef>
              <c:f>Plot_Data_Power!$O$1</c:f>
              <c:strCache>
                <c:ptCount val="1"/>
                <c:pt idx="0">
                  <c:v>75-110GHz</c:v>
                </c:pt>
              </c:strCache>
            </c:strRef>
          </c:tx>
          <c:spPr>
            <a:ln w="25400" cap="rnd">
              <a:noFill/>
              <a:round/>
            </a:ln>
            <a:effectLst/>
          </c:spPr>
          <c:marker>
            <c:symbol val="circle"/>
            <c:size val="7"/>
            <c:spPr>
              <a:solidFill>
                <a:srgbClr val="00B0F0">
                  <a:alpha val="50000"/>
                </a:srgbClr>
              </a:solidFill>
              <a:ln w="9525">
                <a:noFill/>
              </a:ln>
              <a:effectLst/>
            </c:spPr>
          </c:marker>
          <c:xVal>
            <c:numRef>
              <c:f>Plot_Data_Power!$E$2:$E$147</c:f>
              <c:numCache>
                <c:formatCode>General</c:formatCode>
                <c:ptCount val="146"/>
                <c:pt idx="0">
                  <c:v>7.839999999999999</c:v>
                </c:pt>
                <c:pt idx="1">
                  <c:v>#N/A</c:v>
                </c:pt>
                <c:pt idx="2">
                  <c:v>#N/A</c:v>
                </c:pt>
                <c:pt idx="3">
                  <c:v>7.839999999999999</c:v>
                </c:pt>
                <c:pt idx="4">
                  <c:v>0.234207</c:v>
                </c:pt>
                <c:pt idx="5">
                  <c:v>78.539816339744846</c:v>
                </c:pt>
                <c:pt idx="6">
                  <c:v>78.539816339744846</c:v>
                </c:pt>
                <c:pt idx="7">
                  <c:v>824.47957600810525</c:v>
                </c:pt>
                <c:pt idx="8">
                  <c:v>6.25</c:v>
                </c:pt>
                <c:pt idx="9">
                  <c:v>1.5625</c:v>
                </c:pt>
                <c:pt idx="10">
                  <c:v>#N/A</c:v>
                </c:pt>
                <c:pt idx="11">
                  <c:v>400</c:v>
                </c:pt>
                <c:pt idx="12">
                  <c:v>2.8080000000000004E-2</c:v>
                </c:pt>
                <c:pt idx="13">
                  <c:v>#N/A</c:v>
                </c:pt>
                <c:pt idx="14">
                  <c:v>0.64800000000000002</c:v>
                </c:pt>
                <c:pt idx="15">
                  <c:v>0.64800000000000002</c:v>
                </c:pt>
                <c:pt idx="16">
                  <c:v>110.25</c:v>
                </c:pt>
                <c:pt idx="17">
                  <c:v>8.6999999999999994E-2</c:v>
                </c:pt>
                <c:pt idx="18">
                  <c:v>4.7080000000000011</c:v>
                </c:pt>
                <c:pt idx="19">
                  <c:v>17.387999999999998</c:v>
                </c:pt>
                <c:pt idx="20">
                  <c:v>#N/A</c:v>
                </c:pt>
                <c:pt idx="21">
                  <c:v>#N/A</c:v>
                </c:pt>
                <c:pt idx="22">
                  <c:v>#N/A</c:v>
                </c:pt>
                <c:pt idx="23">
                  <c:v>4.1159999999999999E-3</c:v>
                </c:pt>
                <c:pt idx="24">
                  <c:v>#N/A</c:v>
                </c:pt>
                <c:pt idx="25">
                  <c:v>#N/A</c:v>
                </c:pt>
                <c:pt idx="26">
                  <c:v>#N/A</c:v>
                </c:pt>
                <c:pt idx="27">
                  <c:v>#N/A</c:v>
                </c:pt>
                <c:pt idx="28">
                  <c:v>#N/A</c:v>
                </c:pt>
                <c:pt idx="29">
                  <c:v>18.950400000000005</c:v>
                </c:pt>
                <c:pt idx="30">
                  <c:v>1.0302249999999997</c:v>
                </c:pt>
                <c:pt idx="31">
                  <c:v>1.0302249999999997</c:v>
                </c:pt>
                <c:pt idx="32">
                  <c:v>11.626500000000002</c:v>
                </c:pt>
                <c:pt idx="33">
                  <c:v>18.431999999999999</c:v>
                </c:pt>
                <c:pt idx="34">
                  <c:v>2.5600000000000005</c:v>
                </c:pt>
                <c:pt idx="35">
                  <c:v>2.5600000000000005</c:v>
                </c:pt>
                <c:pt idx="36">
                  <c:v>151.20000000000002</c:v>
                </c:pt>
                <c:pt idx="37">
                  <c:v>6.2495999999999989E-2</c:v>
                </c:pt>
                <c:pt idx="38">
                  <c:v>#N/A</c:v>
                </c:pt>
                <c:pt idx="39">
                  <c:v>#N/A</c:v>
                </c:pt>
                <c:pt idx="40">
                  <c:v>2.4300000000000002</c:v>
                </c:pt>
                <c:pt idx="41">
                  <c:v>#N/A</c:v>
                </c:pt>
                <c:pt idx="42">
                  <c:v>#N/A</c:v>
                </c:pt>
                <c:pt idx="43">
                  <c:v>#N/A</c:v>
                </c:pt>
                <c:pt idx="44">
                  <c:v>9.6187500000000004</c:v>
                </c:pt>
                <c:pt idx="45">
                  <c:v>#N/A</c:v>
                </c:pt>
                <c:pt idx="46">
                  <c:v>9.1350000000000001E-2</c:v>
                </c:pt>
                <c:pt idx="47">
                  <c:v>6.8000000000000005E-3</c:v>
                </c:pt>
                <c:pt idx="48">
                  <c:v>2.1170000000000001E-2</c:v>
                </c:pt>
                <c:pt idx="49">
                  <c:v>1.1165000000000001E-2</c:v>
                </c:pt>
                <c:pt idx="50">
                  <c:v>3.2000000000000006E-3</c:v>
                </c:pt>
                <c:pt idx="51">
                  <c:v>0.81649999999999989</c:v>
                </c:pt>
                <c:pt idx="52">
                  <c:v>#N/A</c:v>
                </c:pt>
                <c:pt idx="53">
                  <c:v>#N/A</c:v>
                </c:pt>
                <c:pt idx="54">
                  <c:v>2.516E-3</c:v>
                </c:pt>
                <c:pt idx="55">
                  <c:v>#N/A</c:v>
                </c:pt>
                <c:pt idx="56">
                  <c:v>#N/A</c:v>
                </c:pt>
                <c:pt idx="57">
                  <c:v>#N/A</c:v>
                </c:pt>
                <c:pt idx="58">
                  <c:v>33.6</c:v>
                </c:pt>
                <c:pt idx="59">
                  <c:v>16</c:v>
                </c:pt>
                <c:pt idx="60">
                  <c:v>19.779999999999998</c:v>
                </c:pt>
                <c:pt idx="61">
                  <c:v>6.7320000000000001E-3</c:v>
                </c:pt>
                <c:pt idx="62">
                  <c:v>1.8919999999999999E-2</c:v>
                </c:pt>
                <c:pt idx="63">
                  <c:v>1.3260000000000001E-3</c:v>
                </c:pt>
                <c:pt idx="64">
                  <c:v>#N/A</c:v>
                </c:pt>
                <c:pt idx="65">
                  <c:v>2.9970000000000004E-2</c:v>
                </c:pt>
                <c:pt idx="66">
                  <c:v>6.7650000000000005E-5</c:v>
                </c:pt>
                <c:pt idx="67">
                  <c:v>2.0276000000000002E-2</c:v>
                </c:pt>
                <c:pt idx="68">
                  <c:v>#N/A</c:v>
                </c:pt>
                <c:pt idx="69">
                  <c:v>3.8809</c:v>
                </c:pt>
                <c:pt idx="70">
                  <c:v>2.9240999999999997</c:v>
                </c:pt>
                <c:pt idx="71">
                  <c:v>100</c:v>
                </c:pt>
                <c:pt idx="72">
                  <c:v>#N/A</c:v>
                </c:pt>
                <c:pt idx="73">
                  <c:v>#N/A</c:v>
                </c:pt>
                <c:pt idx="74">
                  <c:v>13.181999999999999</c:v>
                </c:pt>
                <c:pt idx="75">
                  <c:v>#N/A</c:v>
                </c:pt>
                <c:pt idx="76">
                  <c:v>9.5947999999999993</c:v>
                </c:pt>
                <c:pt idx="77">
                  <c:v>331.5</c:v>
                </c:pt>
                <c:pt idx="78">
                  <c:v>5.4880000000000007E-3</c:v>
                </c:pt>
                <c:pt idx="79">
                  <c:v>4.6420000000000003</c:v>
                </c:pt>
                <c:pt idx="80">
                  <c:v>2.2800000000000002</c:v>
                </c:pt>
                <c:pt idx="81">
                  <c:v>2.2800000000000002</c:v>
                </c:pt>
                <c:pt idx="82">
                  <c:v>2.2800000000000002</c:v>
                </c:pt>
                <c:pt idx="83">
                  <c:v>4.7300000000000009E-2</c:v>
                </c:pt>
                <c:pt idx="84">
                  <c:v>#N/A</c:v>
                </c:pt>
                <c:pt idx="85">
                  <c:v>2.25</c:v>
                </c:pt>
                <c:pt idx="86">
                  <c:v>2.25</c:v>
                </c:pt>
                <c:pt idx="87">
                  <c:v>3.2768000000000002</c:v>
                </c:pt>
                <c:pt idx="88">
                  <c:v>2.5092E-2</c:v>
                </c:pt>
                <c:pt idx="89">
                  <c:v>#N/A</c:v>
                </c:pt>
                <c:pt idx="90">
                  <c:v>#N/A</c:v>
                </c:pt>
                <c:pt idx="91">
                  <c:v>#N/A</c:v>
                </c:pt>
                <c:pt idx="92">
                  <c:v>#N/A</c:v>
                </c:pt>
                <c:pt idx="93">
                  <c:v>#N/A</c:v>
                </c:pt>
                <c:pt idx="94">
                  <c:v>4.2635999999999993E-3</c:v>
                </c:pt>
                <c:pt idx="95">
                  <c:v>#N/A</c:v>
                </c:pt>
                <c:pt idx="96">
                  <c:v>#N/A</c:v>
                </c:pt>
                <c:pt idx="97">
                  <c:v>31.359999999999996</c:v>
                </c:pt>
                <c:pt idx="98">
                  <c:v>9</c:v>
                </c:pt>
                <c:pt idx="99">
                  <c:v>9</c:v>
                </c:pt>
                <c:pt idx="100">
                  <c:v>#N/A</c:v>
                </c:pt>
                <c:pt idx="101">
                  <c:v>6.1419999999999999E-3</c:v>
                </c:pt>
                <c:pt idx="102">
                  <c:v>1364</c:v>
                </c:pt>
                <c:pt idx="103">
                  <c:v>6.2744000000000009</c:v>
                </c:pt>
                <c:pt idx="104">
                  <c:v>6.2744000000000009</c:v>
                </c:pt>
                <c:pt idx="105">
                  <c:v>#N/A</c:v>
                </c:pt>
                <c:pt idx="106">
                  <c:v>5.5999999999999991E-3</c:v>
                </c:pt>
                <c:pt idx="107">
                  <c:v>2.2349999999999998E-2</c:v>
                </c:pt>
                <c:pt idx="108">
                  <c:v>0.18489999999999998</c:v>
                </c:pt>
                <c:pt idx="109">
                  <c:v>0.18489999999999998</c:v>
                </c:pt>
                <c:pt idx="110">
                  <c:v>18.0625</c:v>
                </c:pt>
                <c:pt idx="111">
                  <c:v>0.17361111111111113</c:v>
                </c:pt>
                <c:pt idx="112">
                  <c:v>0.17361111111111113</c:v>
                </c:pt>
                <c:pt idx="113">
                  <c:v>#N/A</c:v>
                </c:pt>
                <c:pt idx="114">
                  <c:v>#N/A</c:v>
                </c:pt>
                <c:pt idx="115">
                  <c:v>#N/A</c:v>
                </c:pt>
                <c:pt idx="116">
                  <c:v>#N/A</c:v>
                </c:pt>
                <c:pt idx="117">
                  <c:v>#N/A</c:v>
                </c:pt>
                <c:pt idx="118">
                  <c:v>#N/A</c:v>
                </c:pt>
                <c:pt idx="119">
                  <c:v>#N/A</c:v>
                </c:pt>
                <c:pt idx="120">
                  <c:v>#N/A</c:v>
                </c:pt>
                <c:pt idx="121">
                  <c:v>#N/A</c:v>
                </c:pt>
                <c:pt idx="122">
                  <c:v>#N/A</c:v>
                </c:pt>
                <c:pt idx="123">
                  <c:v>6.72</c:v>
                </c:pt>
                <c:pt idx="124">
                  <c:v>13.831999999999999</c:v>
                </c:pt>
                <c:pt idx="125">
                  <c:v>13.831999999999999</c:v>
                </c:pt>
                <c:pt idx="126">
                  <c:v>#N/A</c:v>
                </c:pt>
                <c:pt idx="127">
                  <c:v>0.23520000000000002</c:v>
                </c:pt>
                <c:pt idx="128">
                  <c:v>#N/A</c:v>
                </c:pt>
                <c:pt idx="129">
                  <c:v>#N/A</c:v>
                </c:pt>
                <c:pt idx="130">
                  <c:v>#N/A</c:v>
                </c:pt>
                <c:pt idx="131">
                  <c:v>2.7000000000000003E-2</c:v>
                </c:pt>
                <c:pt idx="132">
                  <c:v>#N/A</c:v>
                </c:pt>
                <c:pt idx="133">
                  <c:v>#N/A</c:v>
                </c:pt>
                <c:pt idx="134">
                  <c:v>6.2410000000000009E-3</c:v>
                </c:pt>
                <c:pt idx="135">
                  <c:v>#N/A</c:v>
                </c:pt>
                <c:pt idx="136">
                  <c:v>#N/A</c:v>
                </c:pt>
                <c:pt idx="137">
                  <c:v>#N/A</c:v>
                </c:pt>
                <c:pt idx="138">
                  <c:v>2.8365000000000001E-2</c:v>
                </c:pt>
                <c:pt idx="139">
                  <c:v>#N/A</c:v>
                </c:pt>
                <c:pt idx="140">
                  <c:v>6.5198999999999989</c:v>
                </c:pt>
                <c:pt idx="141">
                  <c:v>0.9376000000000001</c:v>
                </c:pt>
                <c:pt idx="142">
                  <c:v>#N/A</c:v>
                </c:pt>
                <c:pt idx="143">
                  <c:v>#N/A</c:v>
                </c:pt>
                <c:pt idx="144">
                  <c:v>0.75529999999999997</c:v>
                </c:pt>
                <c:pt idx="145">
                  <c:v>#N/A</c:v>
                </c:pt>
              </c:numCache>
            </c:numRef>
          </c:xVal>
          <c:yVal>
            <c:numRef>
              <c:f>Plot_Data_Power!$O$2:$O$147</c:f>
              <c:numCache>
                <c:formatCode>General</c:formatCode>
                <c:ptCount val="146"/>
                <c:pt idx="0">
                  <c:v>#N/A</c:v>
                </c:pt>
                <c:pt idx="1">
                  <c:v>#N/A</c:v>
                </c:pt>
                <c:pt idx="2">
                  <c:v>#N/A</c:v>
                </c:pt>
                <c:pt idx="3">
                  <c:v>#N/A</c:v>
                </c:pt>
                <c:pt idx="4">
                  <c:v>#N/A</c:v>
                </c:pt>
                <c:pt idx="5">
                  <c:v>#N/A</c:v>
                </c:pt>
                <c:pt idx="6">
                  <c:v>#N/A</c:v>
                </c:pt>
                <c:pt idx="7">
                  <c:v>#N/A</c:v>
                </c:pt>
                <c:pt idx="8">
                  <c:v>#N/A</c:v>
                </c:pt>
                <c:pt idx="9">
                  <c:v>3.9244786980169333</c:v>
                </c:pt>
                <c:pt idx="10">
                  <c:v>0.22998382983042762</c:v>
                </c:pt>
                <c:pt idx="11">
                  <c:v>#N/A</c:v>
                </c:pt>
                <c:pt idx="12">
                  <c:v>#N/A</c:v>
                </c:pt>
                <c:pt idx="13">
                  <c:v>#N/A</c:v>
                </c:pt>
                <c:pt idx="14">
                  <c:v>#N/A</c:v>
                </c:pt>
                <c:pt idx="15">
                  <c:v>2.103191148267312</c:v>
                </c:pt>
                <c:pt idx="16">
                  <c:v>#N/A</c:v>
                </c:pt>
                <c:pt idx="17">
                  <c:v>#N/A</c:v>
                </c:pt>
                <c:pt idx="18">
                  <c:v>#N/A</c:v>
                </c:pt>
                <c:pt idx="19">
                  <c:v>#N/A</c:v>
                </c:pt>
                <c:pt idx="20">
                  <c:v>#N/A</c:v>
                </c:pt>
                <c:pt idx="21">
                  <c:v>#N/A</c:v>
                </c:pt>
                <c:pt idx="22">
                  <c:v>#N/A</c:v>
                </c:pt>
                <c:pt idx="23">
                  <c:v>#N/A</c:v>
                </c:pt>
                <c:pt idx="24">
                  <c:v>#N/A</c:v>
                </c:pt>
                <c:pt idx="25">
                  <c:v>0.53804519086221281</c:v>
                </c:pt>
                <c:pt idx="26">
                  <c:v>#N/A</c:v>
                </c:pt>
                <c:pt idx="27">
                  <c:v>#N/A</c:v>
                </c:pt>
                <c:pt idx="28">
                  <c:v>#N/A</c:v>
                </c:pt>
                <c:pt idx="29">
                  <c:v>#N/A</c:v>
                </c:pt>
                <c:pt idx="30">
                  <c:v>#N/A</c:v>
                </c:pt>
                <c:pt idx="31">
                  <c:v>2.2943903435643405</c:v>
                </c:pt>
                <c:pt idx="32">
                  <c:v>#N/A</c:v>
                </c:pt>
                <c:pt idx="33">
                  <c:v>#N/A</c:v>
                </c:pt>
                <c:pt idx="34">
                  <c:v>3.1547622307558032</c:v>
                </c:pt>
                <c:pt idx="35">
                  <c:v>#N/A</c:v>
                </c:pt>
                <c:pt idx="36">
                  <c:v>#N/A</c:v>
                </c:pt>
                <c:pt idx="37">
                  <c:v>#N/A</c:v>
                </c:pt>
                <c:pt idx="38">
                  <c:v>#N/A</c:v>
                </c:pt>
                <c:pt idx="39">
                  <c:v>#N/A</c:v>
                </c:pt>
                <c:pt idx="40">
                  <c:v>#N/A</c:v>
                </c:pt>
                <c:pt idx="41">
                  <c:v>#N/A</c:v>
                </c:pt>
                <c:pt idx="42">
                  <c:v>#N/A</c:v>
                </c:pt>
                <c:pt idx="43">
                  <c:v>#N/A</c:v>
                </c:pt>
                <c:pt idx="44">
                  <c:v>#N/A</c:v>
                </c:pt>
                <c:pt idx="45">
                  <c:v>2.2943903435643414</c:v>
                </c:pt>
                <c:pt idx="46">
                  <c:v>#N/A</c:v>
                </c:pt>
                <c:pt idx="47">
                  <c:v>#N/A</c:v>
                </c:pt>
                <c:pt idx="48">
                  <c:v>#N/A</c:v>
                </c:pt>
                <c:pt idx="49">
                  <c:v>#N/A</c:v>
                </c:pt>
                <c:pt idx="50">
                  <c:v>#N/A</c:v>
                </c:pt>
                <c:pt idx="51">
                  <c:v>2.5238293779207748</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7.8496450984674393</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21.957308303365235</c:v>
                </c:pt>
                <c:pt idx="130">
                  <c:v>#N/A</c:v>
                </c:pt>
                <c:pt idx="131">
                  <c:v>#N/A</c:v>
                </c:pt>
                <c:pt idx="132">
                  <c:v>#N/A</c:v>
                </c:pt>
                <c:pt idx="133">
                  <c:v>#N/A</c:v>
                </c:pt>
                <c:pt idx="134">
                  <c:v>#N/A</c:v>
                </c:pt>
                <c:pt idx="135">
                  <c:v>#N/A</c:v>
                </c:pt>
                <c:pt idx="136">
                  <c:v>6.25</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3-CC2F-4E0D-8C06-0F0F34944392}"/>
            </c:ext>
          </c:extLst>
        </c:ser>
        <c:ser>
          <c:idx val="4"/>
          <c:order val="4"/>
          <c:tx>
            <c:strRef>
              <c:f>Plot_Data_Power!$P$1</c:f>
              <c:strCache>
                <c:ptCount val="1"/>
                <c:pt idx="0">
                  <c:v>110-170GHz</c:v>
                </c:pt>
              </c:strCache>
            </c:strRef>
          </c:tx>
          <c:spPr>
            <a:ln w="25400" cap="rnd">
              <a:noFill/>
              <a:round/>
            </a:ln>
            <a:effectLst/>
          </c:spPr>
          <c:marker>
            <c:symbol val="circle"/>
            <c:size val="7"/>
            <c:spPr>
              <a:solidFill>
                <a:srgbClr val="7030A0">
                  <a:alpha val="50000"/>
                </a:srgbClr>
              </a:solidFill>
              <a:ln w="9525">
                <a:noFill/>
              </a:ln>
              <a:effectLst/>
            </c:spPr>
          </c:marker>
          <c:xVal>
            <c:numRef>
              <c:f>Plot_Data_Power!$E$2:$E$147</c:f>
              <c:numCache>
                <c:formatCode>General</c:formatCode>
                <c:ptCount val="146"/>
                <c:pt idx="0">
                  <c:v>7.839999999999999</c:v>
                </c:pt>
                <c:pt idx="1">
                  <c:v>#N/A</c:v>
                </c:pt>
                <c:pt idx="2">
                  <c:v>#N/A</c:v>
                </c:pt>
                <c:pt idx="3">
                  <c:v>7.839999999999999</c:v>
                </c:pt>
                <c:pt idx="4">
                  <c:v>0.234207</c:v>
                </c:pt>
                <c:pt idx="5">
                  <c:v>78.539816339744846</c:v>
                </c:pt>
                <c:pt idx="6">
                  <c:v>78.539816339744846</c:v>
                </c:pt>
                <c:pt idx="7">
                  <c:v>824.47957600810525</c:v>
                </c:pt>
                <c:pt idx="8">
                  <c:v>6.25</c:v>
                </c:pt>
                <c:pt idx="9">
                  <c:v>1.5625</c:v>
                </c:pt>
                <c:pt idx="10">
                  <c:v>#N/A</c:v>
                </c:pt>
                <c:pt idx="11">
                  <c:v>400</c:v>
                </c:pt>
                <c:pt idx="12">
                  <c:v>2.8080000000000004E-2</c:v>
                </c:pt>
                <c:pt idx="13">
                  <c:v>#N/A</c:v>
                </c:pt>
                <c:pt idx="14">
                  <c:v>0.64800000000000002</c:v>
                </c:pt>
                <c:pt idx="15">
                  <c:v>0.64800000000000002</c:v>
                </c:pt>
                <c:pt idx="16">
                  <c:v>110.25</c:v>
                </c:pt>
                <c:pt idx="17">
                  <c:v>8.6999999999999994E-2</c:v>
                </c:pt>
                <c:pt idx="18">
                  <c:v>4.7080000000000011</c:v>
                </c:pt>
                <c:pt idx="19">
                  <c:v>17.387999999999998</c:v>
                </c:pt>
                <c:pt idx="20">
                  <c:v>#N/A</c:v>
                </c:pt>
                <c:pt idx="21">
                  <c:v>#N/A</c:v>
                </c:pt>
                <c:pt idx="22">
                  <c:v>#N/A</c:v>
                </c:pt>
                <c:pt idx="23">
                  <c:v>4.1159999999999999E-3</c:v>
                </c:pt>
                <c:pt idx="24">
                  <c:v>#N/A</c:v>
                </c:pt>
                <c:pt idx="25">
                  <c:v>#N/A</c:v>
                </c:pt>
                <c:pt idx="26">
                  <c:v>#N/A</c:v>
                </c:pt>
                <c:pt idx="27">
                  <c:v>#N/A</c:v>
                </c:pt>
                <c:pt idx="28">
                  <c:v>#N/A</c:v>
                </c:pt>
                <c:pt idx="29">
                  <c:v>18.950400000000005</c:v>
                </c:pt>
                <c:pt idx="30">
                  <c:v>1.0302249999999997</c:v>
                </c:pt>
                <c:pt idx="31">
                  <c:v>1.0302249999999997</c:v>
                </c:pt>
                <c:pt idx="32">
                  <c:v>11.626500000000002</c:v>
                </c:pt>
                <c:pt idx="33">
                  <c:v>18.431999999999999</c:v>
                </c:pt>
                <c:pt idx="34">
                  <c:v>2.5600000000000005</c:v>
                </c:pt>
                <c:pt idx="35">
                  <c:v>2.5600000000000005</c:v>
                </c:pt>
                <c:pt idx="36">
                  <c:v>151.20000000000002</c:v>
                </c:pt>
                <c:pt idx="37">
                  <c:v>6.2495999999999989E-2</c:v>
                </c:pt>
                <c:pt idx="38">
                  <c:v>#N/A</c:v>
                </c:pt>
                <c:pt idx="39">
                  <c:v>#N/A</c:v>
                </c:pt>
                <c:pt idx="40">
                  <c:v>2.4300000000000002</c:v>
                </c:pt>
                <c:pt idx="41">
                  <c:v>#N/A</c:v>
                </c:pt>
                <c:pt idx="42">
                  <c:v>#N/A</c:v>
                </c:pt>
                <c:pt idx="43">
                  <c:v>#N/A</c:v>
                </c:pt>
                <c:pt idx="44">
                  <c:v>9.6187500000000004</c:v>
                </c:pt>
                <c:pt idx="45">
                  <c:v>#N/A</c:v>
                </c:pt>
                <c:pt idx="46">
                  <c:v>9.1350000000000001E-2</c:v>
                </c:pt>
                <c:pt idx="47">
                  <c:v>6.8000000000000005E-3</c:v>
                </c:pt>
                <c:pt idx="48">
                  <c:v>2.1170000000000001E-2</c:v>
                </c:pt>
                <c:pt idx="49">
                  <c:v>1.1165000000000001E-2</c:v>
                </c:pt>
                <c:pt idx="50">
                  <c:v>3.2000000000000006E-3</c:v>
                </c:pt>
                <c:pt idx="51">
                  <c:v>0.81649999999999989</c:v>
                </c:pt>
                <c:pt idx="52">
                  <c:v>#N/A</c:v>
                </c:pt>
                <c:pt idx="53">
                  <c:v>#N/A</c:v>
                </c:pt>
                <c:pt idx="54">
                  <c:v>2.516E-3</c:v>
                </c:pt>
                <c:pt idx="55">
                  <c:v>#N/A</c:v>
                </c:pt>
                <c:pt idx="56">
                  <c:v>#N/A</c:v>
                </c:pt>
                <c:pt idx="57">
                  <c:v>#N/A</c:v>
                </c:pt>
                <c:pt idx="58">
                  <c:v>33.6</c:v>
                </c:pt>
                <c:pt idx="59">
                  <c:v>16</c:v>
                </c:pt>
                <c:pt idx="60">
                  <c:v>19.779999999999998</c:v>
                </c:pt>
                <c:pt idx="61">
                  <c:v>6.7320000000000001E-3</c:v>
                </c:pt>
                <c:pt idx="62">
                  <c:v>1.8919999999999999E-2</c:v>
                </c:pt>
                <c:pt idx="63">
                  <c:v>1.3260000000000001E-3</c:v>
                </c:pt>
                <c:pt idx="64">
                  <c:v>#N/A</c:v>
                </c:pt>
                <c:pt idx="65">
                  <c:v>2.9970000000000004E-2</c:v>
                </c:pt>
                <c:pt idx="66">
                  <c:v>6.7650000000000005E-5</c:v>
                </c:pt>
                <c:pt idx="67">
                  <c:v>2.0276000000000002E-2</c:v>
                </c:pt>
                <c:pt idx="68">
                  <c:v>#N/A</c:v>
                </c:pt>
                <c:pt idx="69">
                  <c:v>3.8809</c:v>
                </c:pt>
                <c:pt idx="70">
                  <c:v>2.9240999999999997</c:v>
                </c:pt>
                <c:pt idx="71">
                  <c:v>100</c:v>
                </c:pt>
                <c:pt idx="72">
                  <c:v>#N/A</c:v>
                </c:pt>
                <c:pt idx="73">
                  <c:v>#N/A</c:v>
                </c:pt>
                <c:pt idx="74">
                  <c:v>13.181999999999999</c:v>
                </c:pt>
                <c:pt idx="75">
                  <c:v>#N/A</c:v>
                </c:pt>
                <c:pt idx="76">
                  <c:v>9.5947999999999993</c:v>
                </c:pt>
                <c:pt idx="77">
                  <c:v>331.5</c:v>
                </c:pt>
                <c:pt idx="78">
                  <c:v>5.4880000000000007E-3</c:v>
                </c:pt>
                <c:pt idx="79">
                  <c:v>4.6420000000000003</c:v>
                </c:pt>
                <c:pt idx="80">
                  <c:v>2.2800000000000002</c:v>
                </c:pt>
                <c:pt idx="81">
                  <c:v>2.2800000000000002</c:v>
                </c:pt>
                <c:pt idx="82">
                  <c:v>2.2800000000000002</c:v>
                </c:pt>
                <c:pt idx="83">
                  <c:v>4.7300000000000009E-2</c:v>
                </c:pt>
                <c:pt idx="84">
                  <c:v>#N/A</c:v>
                </c:pt>
                <c:pt idx="85">
                  <c:v>2.25</c:v>
                </c:pt>
                <c:pt idx="86">
                  <c:v>2.25</c:v>
                </c:pt>
                <c:pt idx="87">
                  <c:v>3.2768000000000002</c:v>
                </c:pt>
                <c:pt idx="88">
                  <c:v>2.5092E-2</c:v>
                </c:pt>
                <c:pt idx="89">
                  <c:v>#N/A</c:v>
                </c:pt>
                <c:pt idx="90">
                  <c:v>#N/A</c:v>
                </c:pt>
                <c:pt idx="91">
                  <c:v>#N/A</c:v>
                </c:pt>
                <c:pt idx="92">
                  <c:v>#N/A</c:v>
                </c:pt>
                <c:pt idx="93">
                  <c:v>#N/A</c:v>
                </c:pt>
                <c:pt idx="94">
                  <c:v>4.2635999999999993E-3</c:v>
                </c:pt>
                <c:pt idx="95">
                  <c:v>#N/A</c:v>
                </c:pt>
                <c:pt idx="96">
                  <c:v>#N/A</c:v>
                </c:pt>
                <c:pt idx="97">
                  <c:v>31.359999999999996</c:v>
                </c:pt>
                <c:pt idx="98">
                  <c:v>9</c:v>
                </c:pt>
                <c:pt idx="99">
                  <c:v>9</c:v>
                </c:pt>
                <c:pt idx="100">
                  <c:v>#N/A</c:v>
                </c:pt>
                <c:pt idx="101">
                  <c:v>6.1419999999999999E-3</c:v>
                </c:pt>
                <c:pt idx="102">
                  <c:v>1364</c:v>
                </c:pt>
                <c:pt idx="103">
                  <c:v>6.2744000000000009</c:v>
                </c:pt>
                <c:pt idx="104">
                  <c:v>6.2744000000000009</c:v>
                </c:pt>
                <c:pt idx="105">
                  <c:v>#N/A</c:v>
                </c:pt>
                <c:pt idx="106">
                  <c:v>5.5999999999999991E-3</c:v>
                </c:pt>
                <c:pt idx="107">
                  <c:v>2.2349999999999998E-2</c:v>
                </c:pt>
                <c:pt idx="108">
                  <c:v>0.18489999999999998</c:v>
                </c:pt>
                <c:pt idx="109">
                  <c:v>0.18489999999999998</c:v>
                </c:pt>
                <c:pt idx="110">
                  <c:v>18.0625</c:v>
                </c:pt>
                <c:pt idx="111">
                  <c:v>0.17361111111111113</c:v>
                </c:pt>
                <c:pt idx="112">
                  <c:v>0.17361111111111113</c:v>
                </c:pt>
                <c:pt idx="113">
                  <c:v>#N/A</c:v>
                </c:pt>
                <c:pt idx="114">
                  <c:v>#N/A</c:v>
                </c:pt>
                <c:pt idx="115">
                  <c:v>#N/A</c:v>
                </c:pt>
                <c:pt idx="116">
                  <c:v>#N/A</c:v>
                </c:pt>
                <c:pt idx="117">
                  <c:v>#N/A</c:v>
                </c:pt>
                <c:pt idx="118">
                  <c:v>#N/A</c:v>
                </c:pt>
                <c:pt idx="119">
                  <c:v>#N/A</c:v>
                </c:pt>
                <c:pt idx="120">
                  <c:v>#N/A</c:v>
                </c:pt>
                <c:pt idx="121">
                  <c:v>#N/A</c:v>
                </c:pt>
                <c:pt idx="122">
                  <c:v>#N/A</c:v>
                </c:pt>
                <c:pt idx="123">
                  <c:v>6.72</c:v>
                </c:pt>
                <c:pt idx="124">
                  <c:v>13.831999999999999</c:v>
                </c:pt>
                <c:pt idx="125">
                  <c:v>13.831999999999999</c:v>
                </c:pt>
                <c:pt idx="126">
                  <c:v>#N/A</c:v>
                </c:pt>
                <c:pt idx="127">
                  <c:v>0.23520000000000002</c:v>
                </c:pt>
                <c:pt idx="128">
                  <c:v>#N/A</c:v>
                </c:pt>
                <c:pt idx="129">
                  <c:v>#N/A</c:v>
                </c:pt>
                <c:pt idx="130">
                  <c:v>#N/A</c:v>
                </c:pt>
                <c:pt idx="131">
                  <c:v>2.7000000000000003E-2</c:v>
                </c:pt>
                <c:pt idx="132">
                  <c:v>#N/A</c:v>
                </c:pt>
                <c:pt idx="133">
                  <c:v>#N/A</c:v>
                </c:pt>
                <c:pt idx="134">
                  <c:v>6.2410000000000009E-3</c:v>
                </c:pt>
                <c:pt idx="135">
                  <c:v>#N/A</c:v>
                </c:pt>
                <c:pt idx="136">
                  <c:v>#N/A</c:v>
                </c:pt>
                <c:pt idx="137">
                  <c:v>#N/A</c:v>
                </c:pt>
                <c:pt idx="138">
                  <c:v>2.8365000000000001E-2</c:v>
                </c:pt>
                <c:pt idx="139">
                  <c:v>#N/A</c:v>
                </c:pt>
                <c:pt idx="140">
                  <c:v>6.5198999999999989</c:v>
                </c:pt>
                <c:pt idx="141">
                  <c:v>0.9376000000000001</c:v>
                </c:pt>
                <c:pt idx="142">
                  <c:v>#N/A</c:v>
                </c:pt>
                <c:pt idx="143">
                  <c:v>#N/A</c:v>
                </c:pt>
                <c:pt idx="144">
                  <c:v>0.75529999999999997</c:v>
                </c:pt>
                <c:pt idx="145">
                  <c:v>#N/A</c:v>
                </c:pt>
              </c:numCache>
            </c:numRef>
          </c:xVal>
          <c:yVal>
            <c:numRef>
              <c:f>Plot_Data_Power!$P$2:$P$147</c:f>
              <c:numCache>
                <c:formatCode>General</c:formatCode>
                <c:ptCount val="146"/>
                <c:pt idx="0">
                  <c:v>#N/A</c:v>
                </c:pt>
                <c:pt idx="1">
                  <c:v>#N/A</c:v>
                </c:pt>
                <c:pt idx="2">
                  <c:v>#N/A</c:v>
                </c:pt>
                <c:pt idx="3">
                  <c:v>#N/A</c:v>
                </c:pt>
                <c:pt idx="4">
                  <c:v>0.61302681992337194</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2.8250750892455101</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1.4779720851621345</c:v>
                </c:pt>
                <c:pt idx="53">
                  <c:v>0.95012491188994352</c:v>
                </c:pt>
                <c:pt idx="54">
                  <c:v>#N/A</c:v>
                </c:pt>
                <c:pt idx="55">
                  <c:v>#N/A</c:v>
                </c:pt>
                <c:pt idx="56">
                  <c:v>2.8939169273376901</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2.9294594190142376</c:v>
                </c:pt>
                <c:pt idx="89">
                  <c:v>#N/A</c:v>
                </c:pt>
                <c:pt idx="90">
                  <c:v>#N/A</c:v>
                </c:pt>
                <c:pt idx="91">
                  <c:v>#N/A</c:v>
                </c:pt>
                <c:pt idx="92">
                  <c:v>#N/A</c:v>
                </c:pt>
                <c:pt idx="93">
                  <c:v>#N/A</c:v>
                </c:pt>
                <c:pt idx="94">
                  <c:v>#N/A</c:v>
                </c:pt>
                <c:pt idx="95">
                  <c:v>0.81649569053338422</c:v>
                </c:pt>
                <c:pt idx="96">
                  <c:v>4.3290043290043272</c:v>
                </c:pt>
                <c:pt idx="97">
                  <c:v>#N/A</c:v>
                </c:pt>
                <c:pt idx="98">
                  <c:v>5.9807290281551548</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0.3265306122448981</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2.5358291079377808E-2</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4-CC2F-4E0D-8C06-0F0F34944392}"/>
            </c:ext>
          </c:extLst>
        </c:ser>
        <c:ser>
          <c:idx val="5"/>
          <c:order val="5"/>
          <c:tx>
            <c:strRef>
              <c:f>Plot_Data_Power!$Q$1</c:f>
              <c:strCache>
                <c:ptCount val="1"/>
                <c:pt idx="0">
                  <c:v>170-260GHz</c:v>
                </c:pt>
              </c:strCache>
            </c:strRef>
          </c:tx>
          <c:spPr>
            <a:ln w="25400" cap="rnd">
              <a:noFill/>
              <a:round/>
            </a:ln>
            <a:effectLst/>
          </c:spPr>
          <c:marker>
            <c:symbol val="circle"/>
            <c:size val="7"/>
            <c:spPr>
              <a:solidFill>
                <a:srgbClr val="FF66CC">
                  <a:alpha val="50000"/>
                </a:srgbClr>
              </a:solidFill>
              <a:ln w="9525">
                <a:noFill/>
              </a:ln>
              <a:effectLst/>
            </c:spPr>
          </c:marker>
          <c:xVal>
            <c:numRef>
              <c:f>Plot_Data_Power!$E$2:$E$147</c:f>
              <c:numCache>
                <c:formatCode>General</c:formatCode>
                <c:ptCount val="146"/>
                <c:pt idx="0">
                  <c:v>7.839999999999999</c:v>
                </c:pt>
                <c:pt idx="1">
                  <c:v>#N/A</c:v>
                </c:pt>
                <c:pt idx="2">
                  <c:v>#N/A</c:v>
                </c:pt>
                <c:pt idx="3">
                  <c:v>7.839999999999999</c:v>
                </c:pt>
                <c:pt idx="4">
                  <c:v>0.234207</c:v>
                </c:pt>
                <c:pt idx="5">
                  <c:v>78.539816339744846</c:v>
                </c:pt>
                <c:pt idx="6">
                  <c:v>78.539816339744846</c:v>
                </c:pt>
                <c:pt idx="7">
                  <c:v>824.47957600810525</c:v>
                </c:pt>
                <c:pt idx="8">
                  <c:v>6.25</c:v>
                </c:pt>
                <c:pt idx="9">
                  <c:v>1.5625</c:v>
                </c:pt>
                <c:pt idx="10">
                  <c:v>#N/A</c:v>
                </c:pt>
                <c:pt idx="11">
                  <c:v>400</c:v>
                </c:pt>
                <c:pt idx="12">
                  <c:v>2.8080000000000004E-2</c:v>
                </c:pt>
                <c:pt idx="13">
                  <c:v>#N/A</c:v>
                </c:pt>
                <c:pt idx="14">
                  <c:v>0.64800000000000002</c:v>
                </c:pt>
                <c:pt idx="15">
                  <c:v>0.64800000000000002</c:v>
                </c:pt>
                <c:pt idx="16">
                  <c:v>110.25</c:v>
                </c:pt>
                <c:pt idx="17">
                  <c:v>8.6999999999999994E-2</c:v>
                </c:pt>
                <c:pt idx="18">
                  <c:v>4.7080000000000011</c:v>
                </c:pt>
                <c:pt idx="19">
                  <c:v>17.387999999999998</c:v>
                </c:pt>
                <c:pt idx="20">
                  <c:v>#N/A</c:v>
                </c:pt>
                <c:pt idx="21">
                  <c:v>#N/A</c:v>
                </c:pt>
                <c:pt idx="22">
                  <c:v>#N/A</c:v>
                </c:pt>
                <c:pt idx="23">
                  <c:v>4.1159999999999999E-3</c:v>
                </c:pt>
                <c:pt idx="24">
                  <c:v>#N/A</c:v>
                </c:pt>
                <c:pt idx="25">
                  <c:v>#N/A</c:v>
                </c:pt>
                <c:pt idx="26">
                  <c:v>#N/A</c:v>
                </c:pt>
                <c:pt idx="27">
                  <c:v>#N/A</c:v>
                </c:pt>
                <c:pt idx="28">
                  <c:v>#N/A</c:v>
                </c:pt>
                <c:pt idx="29">
                  <c:v>18.950400000000005</c:v>
                </c:pt>
                <c:pt idx="30">
                  <c:v>1.0302249999999997</c:v>
                </c:pt>
                <c:pt idx="31">
                  <c:v>1.0302249999999997</c:v>
                </c:pt>
                <c:pt idx="32">
                  <c:v>11.626500000000002</c:v>
                </c:pt>
                <c:pt idx="33">
                  <c:v>18.431999999999999</c:v>
                </c:pt>
                <c:pt idx="34">
                  <c:v>2.5600000000000005</c:v>
                </c:pt>
                <c:pt idx="35">
                  <c:v>2.5600000000000005</c:v>
                </c:pt>
                <c:pt idx="36">
                  <c:v>151.20000000000002</c:v>
                </c:pt>
                <c:pt idx="37">
                  <c:v>6.2495999999999989E-2</c:v>
                </c:pt>
                <c:pt idx="38">
                  <c:v>#N/A</c:v>
                </c:pt>
                <c:pt idx="39">
                  <c:v>#N/A</c:v>
                </c:pt>
                <c:pt idx="40">
                  <c:v>2.4300000000000002</c:v>
                </c:pt>
                <c:pt idx="41">
                  <c:v>#N/A</c:v>
                </c:pt>
                <c:pt idx="42">
                  <c:v>#N/A</c:v>
                </c:pt>
                <c:pt idx="43">
                  <c:v>#N/A</c:v>
                </c:pt>
                <c:pt idx="44">
                  <c:v>9.6187500000000004</c:v>
                </c:pt>
                <c:pt idx="45">
                  <c:v>#N/A</c:v>
                </c:pt>
                <c:pt idx="46">
                  <c:v>9.1350000000000001E-2</c:v>
                </c:pt>
                <c:pt idx="47">
                  <c:v>6.8000000000000005E-3</c:v>
                </c:pt>
                <c:pt idx="48">
                  <c:v>2.1170000000000001E-2</c:v>
                </c:pt>
                <c:pt idx="49">
                  <c:v>1.1165000000000001E-2</c:v>
                </c:pt>
                <c:pt idx="50">
                  <c:v>3.2000000000000006E-3</c:v>
                </c:pt>
                <c:pt idx="51">
                  <c:v>0.81649999999999989</c:v>
                </c:pt>
                <c:pt idx="52">
                  <c:v>#N/A</c:v>
                </c:pt>
                <c:pt idx="53">
                  <c:v>#N/A</c:v>
                </c:pt>
                <c:pt idx="54">
                  <c:v>2.516E-3</c:v>
                </c:pt>
                <c:pt idx="55">
                  <c:v>#N/A</c:v>
                </c:pt>
                <c:pt idx="56">
                  <c:v>#N/A</c:v>
                </c:pt>
                <c:pt idx="57">
                  <c:v>#N/A</c:v>
                </c:pt>
                <c:pt idx="58">
                  <c:v>33.6</c:v>
                </c:pt>
                <c:pt idx="59">
                  <c:v>16</c:v>
                </c:pt>
                <c:pt idx="60">
                  <c:v>19.779999999999998</c:v>
                </c:pt>
                <c:pt idx="61">
                  <c:v>6.7320000000000001E-3</c:v>
                </c:pt>
                <c:pt idx="62">
                  <c:v>1.8919999999999999E-2</c:v>
                </c:pt>
                <c:pt idx="63">
                  <c:v>1.3260000000000001E-3</c:v>
                </c:pt>
                <c:pt idx="64">
                  <c:v>#N/A</c:v>
                </c:pt>
                <c:pt idx="65">
                  <c:v>2.9970000000000004E-2</c:v>
                </c:pt>
                <c:pt idx="66">
                  <c:v>6.7650000000000005E-5</c:v>
                </c:pt>
                <c:pt idx="67">
                  <c:v>2.0276000000000002E-2</c:v>
                </c:pt>
                <c:pt idx="68">
                  <c:v>#N/A</c:v>
                </c:pt>
                <c:pt idx="69">
                  <c:v>3.8809</c:v>
                </c:pt>
                <c:pt idx="70">
                  <c:v>2.9240999999999997</c:v>
                </c:pt>
                <c:pt idx="71">
                  <c:v>100</c:v>
                </c:pt>
                <c:pt idx="72">
                  <c:v>#N/A</c:v>
                </c:pt>
                <c:pt idx="73">
                  <c:v>#N/A</c:v>
                </c:pt>
                <c:pt idx="74">
                  <c:v>13.181999999999999</c:v>
                </c:pt>
                <c:pt idx="75">
                  <c:v>#N/A</c:v>
                </c:pt>
                <c:pt idx="76">
                  <c:v>9.5947999999999993</c:v>
                </c:pt>
                <c:pt idx="77">
                  <c:v>331.5</c:v>
                </c:pt>
                <c:pt idx="78">
                  <c:v>5.4880000000000007E-3</c:v>
                </c:pt>
                <c:pt idx="79">
                  <c:v>4.6420000000000003</c:v>
                </c:pt>
                <c:pt idx="80">
                  <c:v>2.2800000000000002</c:v>
                </c:pt>
                <c:pt idx="81">
                  <c:v>2.2800000000000002</c:v>
                </c:pt>
                <c:pt idx="82">
                  <c:v>2.2800000000000002</c:v>
                </c:pt>
                <c:pt idx="83">
                  <c:v>4.7300000000000009E-2</c:v>
                </c:pt>
                <c:pt idx="84">
                  <c:v>#N/A</c:v>
                </c:pt>
                <c:pt idx="85">
                  <c:v>2.25</c:v>
                </c:pt>
                <c:pt idx="86">
                  <c:v>2.25</c:v>
                </c:pt>
                <c:pt idx="87">
                  <c:v>3.2768000000000002</c:v>
                </c:pt>
                <c:pt idx="88">
                  <c:v>2.5092E-2</c:v>
                </c:pt>
                <c:pt idx="89">
                  <c:v>#N/A</c:v>
                </c:pt>
                <c:pt idx="90">
                  <c:v>#N/A</c:v>
                </c:pt>
                <c:pt idx="91">
                  <c:v>#N/A</c:v>
                </c:pt>
                <c:pt idx="92">
                  <c:v>#N/A</c:v>
                </c:pt>
                <c:pt idx="93">
                  <c:v>#N/A</c:v>
                </c:pt>
                <c:pt idx="94">
                  <c:v>4.2635999999999993E-3</c:v>
                </c:pt>
                <c:pt idx="95">
                  <c:v>#N/A</c:v>
                </c:pt>
                <c:pt idx="96">
                  <c:v>#N/A</c:v>
                </c:pt>
                <c:pt idx="97">
                  <c:v>31.359999999999996</c:v>
                </c:pt>
                <c:pt idx="98">
                  <c:v>9</c:v>
                </c:pt>
                <c:pt idx="99">
                  <c:v>9</c:v>
                </c:pt>
                <c:pt idx="100">
                  <c:v>#N/A</c:v>
                </c:pt>
                <c:pt idx="101">
                  <c:v>6.1419999999999999E-3</c:v>
                </c:pt>
                <c:pt idx="102">
                  <c:v>1364</c:v>
                </c:pt>
                <c:pt idx="103">
                  <c:v>6.2744000000000009</c:v>
                </c:pt>
                <c:pt idx="104">
                  <c:v>6.2744000000000009</c:v>
                </c:pt>
                <c:pt idx="105">
                  <c:v>#N/A</c:v>
                </c:pt>
                <c:pt idx="106">
                  <c:v>5.5999999999999991E-3</c:v>
                </c:pt>
                <c:pt idx="107">
                  <c:v>2.2349999999999998E-2</c:v>
                </c:pt>
                <c:pt idx="108">
                  <c:v>0.18489999999999998</c:v>
                </c:pt>
                <c:pt idx="109">
                  <c:v>0.18489999999999998</c:v>
                </c:pt>
                <c:pt idx="110">
                  <c:v>18.0625</c:v>
                </c:pt>
                <c:pt idx="111">
                  <c:v>0.17361111111111113</c:v>
                </c:pt>
                <c:pt idx="112">
                  <c:v>0.17361111111111113</c:v>
                </c:pt>
                <c:pt idx="113">
                  <c:v>#N/A</c:v>
                </c:pt>
                <c:pt idx="114">
                  <c:v>#N/A</c:v>
                </c:pt>
                <c:pt idx="115">
                  <c:v>#N/A</c:v>
                </c:pt>
                <c:pt idx="116">
                  <c:v>#N/A</c:v>
                </c:pt>
                <c:pt idx="117">
                  <c:v>#N/A</c:v>
                </c:pt>
                <c:pt idx="118">
                  <c:v>#N/A</c:v>
                </c:pt>
                <c:pt idx="119">
                  <c:v>#N/A</c:v>
                </c:pt>
                <c:pt idx="120">
                  <c:v>#N/A</c:v>
                </c:pt>
                <c:pt idx="121">
                  <c:v>#N/A</c:v>
                </c:pt>
                <c:pt idx="122">
                  <c:v>#N/A</c:v>
                </c:pt>
                <c:pt idx="123">
                  <c:v>6.72</c:v>
                </c:pt>
                <c:pt idx="124">
                  <c:v>13.831999999999999</c:v>
                </c:pt>
                <c:pt idx="125">
                  <c:v>13.831999999999999</c:v>
                </c:pt>
                <c:pt idx="126">
                  <c:v>#N/A</c:v>
                </c:pt>
                <c:pt idx="127">
                  <c:v>0.23520000000000002</c:v>
                </c:pt>
                <c:pt idx="128">
                  <c:v>#N/A</c:v>
                </c:pt>
                <c:pt idx="129">
                  <c:v>#N/A</c:v>
                </c:pt>
                <c:pt idx="130">
                  <c:v>#N/A</c:v>
                </c:pt>
                <c:pt idx="131">
                  <c:v>2.7000000000000003E-2</c:v>
                </c:pt>
                <c:pt idx="132">
                  <c:v>#N/A</c:v>
                </c:pt>
                <c:pt idx="133">
                  <c:v>#N/A</c:v>
                </c:pt>
                <c:pt idx="134">
                  <c:v>6.2410000000000009E-3</c:v>
                </c:pt>
                <c:pt idx="135">
                  <c:v>#N/A</c:v>
                </c:pt>
                <c:pt idx="136">
                  <c:v>#N/A</c:v>
                </c:pt>
                <c:pt idx="137">
                  <c:v>#N/A</c:v>
                </c:pt>
                <c:pt idx="138">
                  <c:v>2.8365000000000001E-2</c:v>
                </c:pt>
                <c:pt idx="139">
                  <c:v>#N/A</c:v>
                </c:pt>
                <c:pt idx="140">
                  <c:v>6.5198999999999989</c:v>
                </c:pt>
                <c:pt idx="141">
                  <c:v>0.9376000000000001</c:v>
                </c:pt>
                <c:pt idx="142">
                  <c:v>#N/A</c:v>
                </c:pt>
                <c:pt idx="143">
                  <c:v>#N/A</c:v>
                </c:pt>
                <c:pt idx="144">
                  <c:v>0.75529999999999997</c:v>
                </c:pt>
                <c:pt idx="145">
                  <c:v>#N/A</c:v>
                </c:pt>
              </c:numCache>
            </c:numRef>
          </c:xVal>
          <c:yVal>
            <c:numRef>
              <c:f>Plot_Data_Power!$Q$2:$Q$147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0.54075389820491293</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5-CC2F-4E0D-8C06-0F0F34944392}"/>
            </c:ext>
          </c:extLst>
        </c:ser>
        <c:ser>
          <c:idx val="6"/>
          <c:order val="6"/>
          <c:tx>
            <c:strRef>
              <c:f>Plot_Data_Power!$R$1</c:f>
              <c:strCache>
                <c:ptCount val="1"/>
                <c:pt idx="0">
                  <c:v>&gt;260GHz</c:v>
                </c:pt>
              </c:strCache>
            </c:strRef>
          </c:tx>
          <c:spPr>
            <a:ln w="25400" cap="rnd">
              <a:noFill/>
              <a:round/>
            </a:ln>
            <a:effectLst/>
          </c:spPr>
          <c:marker>
            <c:symbol val="circle"/>
            <c:size val="7"/>
            <c:spPr>
              <a:solidFill>
                <a:srgbClr val="002060">
                  <a:alpha val="50000"/>
                </a:srgbClr>
              </a:solidFill>
              <a:ln w="9525">
                <a:noFill/>
              </a:ln>
              <a:effectLst/>
            </c:spPr>
          </c:marker>
          <c:xVal>
            <c:numRef>
              <c:f>Plot_Data_Power!$E$2:$E$147</c:f>
              <c:numCache>
                <c:formatCode>General</c:formatCode>
                <c:ptCount val="146"/>
                <c:pt idx="0">
                  <c:v>7.839999999999999</c:v>
                </c:pt>
                <c:pt idx="1">
                  <c:v>#N/A</c:v>
                </c:pt>
                <c:pt idx="2">
                  <c:v>#N/A</c:v>
                </c:pt>
                <c:pt idx="3">
                  <c:v>7.839999999999999</c:v>
                </c:pt>
                <c:pt idx="4">
                  <c:v>0.234207</c:v>
                </c:pt>
                <c:pt idx="5">
                  <c:v>78.539816339744846</c:v>
                </c:pt>
                <c:pt idx="6">
                  <c:v>78.539816339744846</c:v>
                </c:pt>
                <c:pt idx="7">
                  <c:v>824.47957600810525</c:v>
                </c:pt>
                <c:pt idx="8">
                  <c:v>6.25</c:v>
                </c:pt>
                <c:pt idx="9">
                  <c:v>1.5625</c:v>
                </c:pt>
                <c:pt idx="10">
                  <c:v>#N/A</c:v>
                </c:pt>
                <c:pt idx="11">
                  <c:v>400</c:v>
                </c:pt>
                <c:pt idx="12">
                  <c:v>2.8080000000000004E-2</c:v>
                </c:pt>
                <c:pt idx="13">
                  <c:v>#N/A</c:v>
                </c:pt>
                <c:pt idx="14">
                  <c:v>0.64800000000000002</c:v>
                </c:pt>
                <c:pt idx="15">
                  <c:v>0.64800000000000002</c:v>
                </c:pt>
                <c:pt idx="16">
                  <c:v>110.25</c:v>
                </c:pt>
                <c:pt idx="17">
                  <c:v>8.6999999999999994E-2</c:v>
                </c:pt>
                <c:pt idx="18">
                  <c:v>4.7080000000000011</c:v>
                </c:pt>
                <c:pt idx="19">
                  <c:v>17.387999999999998</c:v>
                </c:pt>
                <c:pt idx="20">
                  <c:v>#N/A</c:v>
                </c:pt>
                <c:pt idx="21">
                  <c:v>#N/A</c:v>
                </c:pt>
                <c:pt idx="22">
                  <c:v>#N/A</c:v>
                </c:pt>
                <c:pt idx="23">
                  <c:v>4.1159999999999999E-3</c:v>
                </c:pt>
                <c:pt idx="24">
                  <c:v>#N/A</c:v>
                </c:pt>
                <c:pt idx="25">
                  <c:v>#N/A</c:v>
                </c:pt>
                <c:pt idx="26">
                  <c:v>#N/A</c:v>
                </c:pt>
                <c:pt idx="27">
                  <c:v>#N/A</c:v>
                </c:pt>
                <c:pt idx="28">
                  <c:v>#N/A</c:v>
                </c:pt>
                <c:pt idx="29">
                  <c:v>18.950400000000005</c:v>
                </c:pt>
                <c:pt idx="30">
                  <c:v>1.0302249999999997</c:v>
                </c:pt>
                <c:pt idx="31">
                  <c:v>1.0302249999999997</c:v>
                </c:pt>
                <c:pt idx="32">
                  <c:v>11.626500000000002</c:v>
                </c:pt>
                <c:pt idx="33">
                  <c:v>18.431999999999999</c:v>
                </c:pt>
                <c:pt idx="34">
                  <c:v>2.5600000000000005</c:v>
                </c:pt>
                <c:pt idx="35">
                  <c:v>2.5600000000000005</c:v>
                </c:pt>
                <c:pt idx="36">
                  <c:v>151.20000000000002</c:v>
                </c:pt>
                <c:pt idx="37">
                  <c:v>6.2495999999999989E-2</c:v>
                </c:pt>
                <c:pt idx="38">
                  <c:v>#N/A</c:v>
                </c:pt>
                <c:pt idx="39">
                  <c:v>#N/A</c:v>
                </c:pt>
                <c:pt idx="40">
                  <c:v>2.4300000000000002</c:v>
                </c:pt>
                <c:pt idx="41">
                  <c:v>#N/A</c:v>
                </c:pt>
                <c:pt idx="42">
                  <c:v>#N/A</c:v>
                </c:pt>
                <c:pt idx="43">
                  <c:v>#N/A</c:v>
                </c:pt>
                <c:pt idx="44">
                  <c:v>9.6187500000000004</c:v>
                </c:pt>
                <c:pt idx="45">
                  <c:v>#N/A</c:v>
                </c:pt>
                <c:pt idx="46">
                  <c:v>9.1350000000000001E-2</c:v>
                </c:pt>
                <c:pt idx="47">
                  <c:v>6.8000000000000005E-3</c:v>
                </c:pt>
                <c:pt idx="48">
                  <c:v>2.1170000000000001E-2</c:v>
                </c:pt>
                <c:pt idx="49">
                  <c:v>1.1165000000000001E-2</c:v>
                </c:pt>
                <c:pt idx="50">
                  <c:v>3.2000000000000006E-3</c:v>
                </c:pt>
                <c:pt idx="51">
                  <c:v>0.81649999999999989</c:v>
                </c:pt>
                <c:pt idx="52">
                  <c:v>#N/A</c:v>
                </c:pt>
                <c:pt idx="53">
                  <c:v>#N/A</c:v>
                </c:pt>
                <c:pt idx="54">
                  <c:v>2.516E-3</c:v>
                </c:pt>
                <c:pt idx="55">
                  <c:v>#N/A</c:v>
                </c:pt>
                <c:pt idx="56">
                  <c:v>#N/A</c:v>
                </c:pt>
                <c:pt idx="57">
                  <c:v>#N/A</c:v>
                </c:pt>
                <c:pt idx="58">
                  <c:v>33.6</c:v>
                </c:pt>
                <c:pt idx="59">
                  <c:v>16</c:v>
                </c:pt>
                <c:pt idx="60">
                  <c:v>19.779999999999998</c:v>
                </c:pt>
                <c:pt idx="61">
                  <c:v>6.7320000000000001E-3</c:v>
                </c:pt>
                <c:pt idx="62">
                  <c:v>1.8919999999999999E-2</c:v>
                </c:pt>
                <c:pt idx="63">
                  <c:v>1.3260000000000001E-3</c:v>
                </c:pt>
                <c:pt idx="64">
                  <c:v>#N/A</c:v>
                </c:pt>
                <c:pt idx="65">
                  <c:v>2.9970000000000004E-2</c:v>
                </c:pt>
                <c:pt idx="66">
                  <c:v>6.7650000000000005E-5</c:v>
                </c:pt>
                <c:pt idx="67">
                  <c:v>2.0276000000000002E-2</c:v>
                </c:pt>
                <c:pt idx="68">
                  <c:v>#N/A</c:v>
                </c:pt>
                <c:pt idx="69">
                  <c:v>3.8809</c:v>
                </c:pt>
                <c:pt idx="70">
                  <c:v>2.9240999999999997</c:v>
                </c:pt>
                <c:pt idx="71">
                  <c:v>100</c:v>
                </c:pt>
                <c:pt idx="72">
                  <c:v>#N/A</c:v>
                </c:pt>
                <c:pt idx="73">
                  <c:v>#N/A</c:v>
                </c:pt>
                <c:pt idx="74">
                  <c:v>13.181999999999999</c:v>
                </c:pt>
                <c:pt idx="75">
                  <c:v>#N/A</c:v>
                </c:pt>
                <c:pt idx="76">
                  <c:v>9.5947999999999993</c:v>
                </c:pt>
                <c:pt idx="77">
                  <c:v>331.5</c:v>
                </c:pt>
                <c:pt idx="78">
                  <c:v>5.4880000000000007E-3</c:v>
                </c:pt>
                <c:pt idx="79">
                  <c:v>4.6420000000000003</c:v>
                </c:pt>
                <c:pt idx="80">
                  <c:v>2.2800000000000002</c:v>
                </c:pt>
                <c:pt idx="81">
                  <c:v>2.2800000000000002</c:v>
                </c:pt>
                <c:pt idx="82">
                  <c:v>2.2800000000000002</c:v>
                </c:pt>
                <c:pt idx="83">
                  <c:v>4.7300000000000009E-2</c:v>
                </c:pt>
                <c:pt idx="84">
                  <c:v>#N/A</c:v>
                </c:pt>
                <c:pt idx="85">
                  <c:v>2.25</c:v>
                </c:pt>
                <c:pt idx="86">
                  <c:v>2.25</c:v>
                </c:pt>
                <c:pt idx="87">
                  <c:v>3.2768000000000002</c:v>
                </c:pt>
                <c:pt idx="88">
                  <c:v>2.5092E-2</c:v>
                </c:pt>
                <c:pt idx="89">
                  <c:v>#N/A</c:v>
                </c:pt>
                <c:pt idx="90">
                  <c:v>#N/A</c:v>
                </c:pt>
                <c:pt idx="91">
                  <c:v>#N/A</c:v>
                </c:pt>
                <c:pt idx="92">
                  <c:v>#N/A</c:v>
                </c:pt>
                <c:pt idx="93">
                  <c:v>#N/A</c:v>
                </c:pt>
                <c:pt idx="94">
                  <c:v>4.2635999999999993E-3</c:v>
                </c:pt>
                <c:pt idx="95">
                  <c:v>#N/A</c:v>
                </c:pt>
                <c:pt idx="96">
                  <c:v>#N/A</c:v>
                </c:pt>
                <c:pt idx="97">
                  <c:v>31.359999999999996</c:v>
                </c:pt>
                <c:pt idx="98">
                  <c:v>9</c:v>
                </c:pt>
                <c:pt idx="99">
                  <c:v>9</c:v>
                </c:pt>
                <c:pt idx="100">
                  <c:v>#N/A</c:v>
                </c:pt>
                <c:pt idx="101">
                  <c:v>6.1419999999999999E-3</c:v>
                </c:pt>
                <c:pt idx="102">
                  <c:v>1364</c:v>
                </c:pt>
                <c:pt idx="103">
                  <c:v>6.2744000000000009</c:v>
                </c:pt>
                <c:pt idx="104">
                  <c:v>6.2744000000000009</c:v>
                </c:pt>
                <c:pt idx="105">
                  <c:v>#N/A</c:v>
                </c:pt>
                <c:pt idx="106">
                  <c:v>5.5999999999999991E-3</c:v>
                </c:pt>
                <c:pt idx="107">
                  <c:v>2.2349999999999998E-2</c:v>
                </c:pt>
                <c:pt idx="108">
                  <c:v>0.18489999999999998</c:v>
                </c:pt>
                <c:pt idx="109">
                  <c:v>0.18489999999999998</c:v>
                </c:pt>
                <c:pt idx="110">
                  <c:v>18.0625</c:v>
                </c:pt>
                <c:pt idx="111">
                  <c:v>0.17361111111111113</c:v>
                </c:pt>
                <c:pt idx="112">
                  <c:v>0.17361111111111113</c:v>
                </c:pt>
                <c:pt idx="113">
                  <c:v>#N/A</c:v>
                </c:pt>
                <c:pt idx="114">
                  <c:v>#N/A</c:v>
                </c:pt>
                <c:pt idx="115">
                  <c:v>#N/A</c:v>
                </c:pt>
                <c:pt idx="116">
                  <c:v>#N/A</c:v>
                </c:pt>
                <c:pt idx="117">
                  <c:v>#N/A</c:v>
                </c:pt>
                <c:pt idx="118">
                  <c:v>#N/A</c:v>
                </c:pt>
                <c:pt idx="119">
                  <c:v>#N/A</c:v>
                </c:pt>
                <c:pt idx="120">
                  <c:v>#N/A</c:v>
                </c:pt>
                <c:pt idx="121">
                  <c:v>#N/A</c:v>
                </c:pt>
                <c:pt idx="122">
                  <c:v>#N/A</c:v>
                </c:pt>
                <c:pt idx="123">
                  <c:v>6.72</c:v>
                </c:pt>
                <c:pt idx="124">
                  <c:v>13.831999999999999</c:v>
                </c:pt>
                <c:pt idx="125">
                  <c:v>13.831999999999999</c:v>
                </c:pt>
                <c:pt idx="126">
                  <c:v>#N/A</c:v>
                </c:pt>
                <c:pt idx="127">
                  <c:v>0.23520000000000002</c:v>
                </c:pt>
                <c:pt idx="128">
                  <c:v>#N/A</c:v>
                </c:pt>
                <c:pt idx="129">
                  <c:v>#N/A</c:v>
                </c:pt>
                <c:pt idx="130">
                  <c:v>#N/A</c:v>
                </c:pt>
                <c:pt idx="131">
                  <c:v>2.7000000000000003E-2</c:v>
                </c:pt>
                <c:pt idx="132">
                  <c:v>#N/A</c:v>
                </c:pt>
                <c:pt idx="133">
                  <c:v>#N/A</c:v>
                </c:pt>
                <c:pt idx="134">
                  <c:v>6.2410000000000009E-3</c:v>
                </c:pt>
                <c:pt idx="135">
                  <c:v>#N/A</c:v>
                </c:pt>
                <c:pt idx="136">
                  <c:v>#N/A</c:v>
                </c:pt>
                <c:pt idx="137">
                  <c:v>#N/A</c:v>
                </c:pt>
                <c:pt idx="138">
                  <c:v>2.8365000000000001E-2</c:v>
                </c:pt>
                <c:pt idx="139">
                  <c:v>#N/A</c:v>
                </c:pt>
                <c:pt idx="140">
                  <c:v>6.5198999999999989</c:v>
                </c:pt>
                <c:pt idx="141">
                  <c:v>0.9376000000000001</c:v>
                </c:pt>
                <c:pt idx="142">
                  <c:v>#N/A</c:v>
                </c:pt>
                <c:pt idx="143">
                  <c:v>#N/A</c:v>
                </c:pt>
                <c:pt idx="144">
                  <c:v>0.75529999999999997</c:v>
                </c:pt>
                <c:pt idx="145">
                  <c:v>#N/A</c:v>
                </c:pt>
              </c:numCache>
            </c:numRef>
          </c:xVal>
          <c:yVal>
            <c:numRef>
              <c:f>Plot_Data_Power!$R$2:$R$147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5.2781202348318124E-2</c:v>
                </c:pt>
                <c:pt idx="13">
                  <c:v>#N/A</c:v>
                </c:pt>
                <c:pt idx="14">
                  <c:v>#N/A</c:v>
                </c:pt>
                <c:pt idx="15">
                  <c:v>#N/A</c:v>
                </c:pt>
                <c:pt idx="16">
                  <c:v>#N/A</c:v>
                </c:pt>
                <c:pt idx="17">
                  <c:v>1.3333333333333336E-2</c:v>
                </c:pt>
                <c:pt idx="18">
                  <c:v>#N/A</c:v>
                </c:pt>
                <c:pt idx="19">
                  <c:v>#N/A</c:v>
                </c:pt>
                <c:pt idx="20">
                  <c:v>#N/A</c:v>
                </c:pt>
                <c:pt idx="21">
                  <c:v>0.10891473605909813</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3.8649774911672437E-2</c:v>
                </c:pt>
                <c:pt idx="42">
                  <c:v>#N/A</c:v>
                </c:pt>
                <c:pt idx="43">
                  <c:v>#N/A</c:v>
                </c:pt>
                <c:pt idx="44">
                  <c:v>#N/A</c:v>
                </c:pt>
                <c:pt idx="45">
                  <c:v>#N/A</c:v>
                </c:pt>
                <c:pt idx="46">
                  <c:v>0.19000000000000003</c:v>
                </c:pt>
                <c:pt idx="47">
                  <c:v>8.006987420037201E-2</c:v>
                </c:pt>
                <c:pt idx="48">
                  <c:v>9.8344931104413294E-2</c:v>
                </c:pt>
                <c:pt idx="49">
                  <c:v>#N/A</c:v>
                </c:pt>
                <c:pt idx="50">
                  <c:v>2.4620952012888955E-2</c:v>
                </c:pt>
                <c:pt idx="51">
                  <c:v>#N/A</c:v>
                </c:pt>
                <c:pt idx="52">
                  <c:v>#N/A</c:v>
                </c:pt>
                <c:pt idx="53">
                  <c:v>#N/A</c:v>
                </c:pt>
                <c:pt idx="54">
                  <c:v>#N/A</c:v>
                </c:pt>
                <c:pt idx="55">
                  <c:v>0.25298521957250925</c:v>
                </c:pt>
                <c:pt idx="56">
                  <c:v>#N/A</c:v>
                </c:pt>
                <c:pt idx="57">
                  <c:v>#N/A</c:v>
                </c:pt>
                <c:pt idx="58">
                  <c:v>#N/A</c:v>
                </c:pt>
                <c:pt idx="59">
                  <c:v>#N/A</c:v>
                </c:pt>
                <c:pt idx="60">
                  <c:v>#N/A</c:v>
                </c:pt>
                <c:pt idx="61">
                  <c:v>4.1412020124808116E-2</c:v>
                </c:pt>
                <c:pt idx="62">
                  <c:v>#N/A</c:v>
                </c:pt>
                <c:pt idx="63">
                  <c:v>#N/A</c:v>
                </c:pt>
                <c:pt idx="64">
                  <c:v>#N/A</c:v>
                </c:pt>
                <c:pt idx="65">
                  <c:v>#N/A</c:v>
                </c:pt>
                <c:pt idx="66">
                  <c:v>#N/A</c:v>
                </c:pt>
                <c:pt idx="67">
                  <c:v>5.8900762040876721E-2</c:v>
                </c:pt>
                <c:pt idx="68">
                  <c:v>#N/A</c:v>
                </c:pt>
                <c:pt idx="69">
                  <c:v>#N/A</c:v>
                </c:pt>
                <c:pt idx="70">
                  <c:v>#N/A</c:v>
                </c:pt>
                <c:pt idx="71">
                  <c:v>#N/A</c:v>
                </c:pt>
                <c:pt idx="72">
                  <c:v>#N/A</c:v>
                </c:pt>
                <c:pt idx="73">
                  <c:v>#N/A</c:v>
                </c:pt>
                <c:pt idx="74">
                  <c:v>#N/A</c:v>
                </c:pt>
                <c:pt idx="75">
                  <c:v>#N/A</c:v>
                </c:pt>
                <c:pt idx="76">
                  <c:v>#N/A</c:v>
                </c:pt>
                <c:pt idx="77">
                  <c:v>#N/A</c:v>
                </c:pt>
                <c:pt idx="78">
                  <c:v>0.13793374418519838</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6.296322030493369E-2</c:v>
                </c:pt>
                <c:pt idx="102">
                  <c:v>#N/A</c:v>
                </c:pt>
                <c:pt idx="103">
                  <c:v>#N/A</c:v>
                </c:pt>
                <c:pt idx="104">
                  <c:v>#N/A</c:v>
                </c:pt>
                <c:pt idx="105">
                  <c:v>#N/A</c:v>
                </c:pt>
                <c:pt idx="106">
                  <c:v>9.9491499634924915E-2</c:v>
                </c:pt>
                <c:pt idx="107">
                  <c:v>3.4564636801880842E-2</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6-CC2F-4E0D-8C06-0F0F34944392}"/>
            </c:ext>
          </c:extLst>
        </c:ser>
        <c:dLbls>
          <c:showLegendKey val="0"/>
          <c:showVal val="0"/>
          <c:showCatName val="0"/>
          <c:showSerName val="0"/>
          <c:showPercent val="0"/>
          <c:showBubbleSize val="0"/>
        </c:dLbls>
        <c:axId val="249305247"/>
        <c:axId val="249087183"/>
      </c:scatterChart>
      <c:valAx>
        <c:axId val="249305247"/>
        <c:scaling>
          <c:logBase val="10"/>
          <c:orientation val="minMax"/>
        </c:scaling>
        <c:delete val="0"/>
        <c:axPos val="b"/>
        <c:majorGridlines>
          <c:spPr>
            <a:ln w="158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Aperture Size (cm</a:t>
                </a:r>
                <a:r>
                  <a:rPr lang="en-US" baseline="30000"/>
                  <a:t>2</a:t>
                </a:r>
                <a:r>
                  <a:rPr lang="en-US"/>
                  <a:t>)</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087183"/>
        <c:crosses val="autoZero"/>
        <c:crossBetween val="midCat"/>
      </c:valAx>
      <c:valAx>
        <c:axId val="249087183"/>
        <c:scaling>
          <c:logBase val="10"/>
          <c:orientation val="minMax"/>
        </c:scaling>
        <c:delete val="0"/>
        <c:axPos val="l"/>
        <c:majorGridlines>
          <c:spPr>
            <a:ln w="158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Ptx_array_total</a:t>
                </a:r>
                <a:r>
                  <a:rPr lang="en-US" baseline="0"/>
                  <a:t> / Pdc (%)</a:t>
                </a:r>
                <a:endParaRPr lang="en-US"/>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305247"/>
        <c:crosses val="autoZero"/>
        <c:crossBetween val="midCat"/>
      </c:valAx>
      <c:spPr>
        <a:noFill/>
        <a:ln w="25400">
          <a:solidFill>
            <a:schemeClr val="tx1"/>
          </a:solidFill>
        </a:ln>
        <a:effectLst/>
      </c:spPr>
    </c:plotArea>
    <c:legend>
      <c:legendPos val="r"/>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r>
              <a:rPr lang="en-US"/>
              <a:t>Array Element Frontend Electronics</a:t>
            </a:r>
            <a:r>
              <a:rPr lang="en-US" baseline="0"/>
              <a:t> </a:t>
            </a:r>
            <a:r>
              <a:rPr lang="en-US"/>
              <a:t>Area vs. Frequency</a:t>
            </a:r>
          </a:p>
        </c:rich>
      </c:tx>
      <c:layout>
        <c:manualLayout>
          <c:xMode val="edge"/>
          <c:yMode val="edge"/>
          <c:x val="0.17458862708638112"/>
          <c:y val="4.071711981407565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endParaRPr lang="en-CH"/>
        </a:p>
      </c:txPr>
    </c:title>
    <c:autoTitleDeleted val="0"/>
    <c:plotArea>
      <c:layout>
        <c:manualLayout>
          <c:layoutTarget val="inner"/>
          <c:xMode val="edge"/>
          <c:yMode val="edge"/>
          <c:x val="0.14262976707689751"/>
          <c:y val="0.12817883555371243"/>
          <c:w val="0.8088263745357237"/>
          <c:h val="0.72971258186028032"/>
        </c:manualLayout>
      </c:layout>
      <c:scatterChart>
        <c:scatterStyle val="lineMarker"/>
        <c:varyColors val="0"/>
        <c:ser>
          <c:idx val="1"/>
          <c:order val="0"/>
          <c:tx>
            <c:v>Wavelength/2</c:v>
          </c:tx>
          <c:spPr>
            <a:ln w="19050" cap="rnd">
              <a:solidFill>
                <a:srgbClr val="0915FF"/>
              </a:solidFill>
              <a:round/>
            </a:ln>
            <a:effectLst/>
          </c:spPr>
          <c:marker>
            <c:symbol val="none"/>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Plot_Data_Element_Size!$B$2:$B$147</c:f>
              <c:numCache>
                <c:formatCode>General</c:formatCode>
                <c:ptCount val="146"/>
                <c:pt idx="0">
                  <c:v>2.5</c:v>
                </c:pt>
                <c:pt idx="1">
                  <c:v>2.5</c:v>
                </c:pt>
                <c:pt idx="2">
                  <c:v>2.5</c:v>
                </c:pt>
                <c:pt idx="3">
                  <c:v>2.5</c:v>
                </c:pt>
                <c:pt idx="4">
                  <c:v>1.3636363636363638</c:v>
                </c:pt>
                <c:pt idx="5">
                  <c:v>6.1475409836065573</c:v>
                </c:pt>
                <c:pt idx="6">
                  <c:v>4.225352112676056</c:v>
                </c:pt>
                <c:pt idx="7">
                  <c:v>14.85148514851485</c:v>
                </c:pt>
                <c:pt idx="8">
                  <c:v>2.5</c:v>
                </c:pt>
                <c:pt idx="9">
                  <c:v>1.6304347826086956</c:v>
                </c:pt>
                <c:pt idx="10">
                  <c:v>1.5463917525773194</c:v>
                </c:pt>
                <c:pt idx="11">
                  <c:v>4.6875</c:v>
                </c:pt>
                <c:pt idx="12">
                  <c:v>0.4437869822485207</c:v>
                </c:pt>
                <c:pt idx="13">
                  <c:v>2.5</c:v>
                </c:pt>
                <c:pt idx="14">
                  <c:v>2.1428571428571428</c:v>
                </c:pt>
                <c:pt idx="15">
                  <c:v>1.7647058823529413</c:v>
                </c:pt>
                <c:pt idx="16">
                  <c:v>3.3333333333333335</c:v>
                </c:pt>
                <c:pt idx="17">
                  <c:v>0.38461538461538464</c:v>
                </c:pt>
                <c:pt idx="18">
                  <c:v>2.5</c:v>
                </c:pt>
                <c:pt idx="19">
                  <c:v>2.5</c:v>
                </c:pt>
                <c:pt idx="20">
                  <c:v>5.3571428571428568</c:v>
                </c:pt>
                <c:pt idx="21">
                  <c:v>0.51724137931034486</c:v>
                </c:pt>
                <c:pt idx="22">
                  <c:v>0.51724137931034486</c:v>
                </c:pt>
                <c:pt idx="23">
                  <c:v>0.46875</c:v>
                </c:pt>
                <c:pt idx="24">
                  <c:v>2.1428571428571428</c:v>
                </c:pt>
                <c:pt idx="25">
                  <c:v>1.4285714285714286</c:v>
                </c:pt>
                <c:pt idx="26">
                  <c:v>6.5217391304347823</c:v>
                </c:pt>
                <c:pt idx="27">
                  <c:v>5</c:v>
                </c:pt>
                <c:pt idx="28">
                  <c:v>5.3571428571428568</c:v>
                </c:pt>
                <c:pt idx="29">
                  <c:v>2.5</c:v>
                </c:pt>
                <c:pt idx="30">
                  <c:v>1.875</c:v>
                </c:pt>
                <c:pt idx="31">
                  <c:v>1.6666666666666667</c:v>
                </c:pt>
                <c:pt idx="32">
                  <c:v>2.5</c:v>
                </c:pt>
                <c:pt idx="33">
                  <c:v>5.3571428571428568</c:v>
                </c:pt>
                <c:pt idx="34">
                  <c:v>1.5957446808510638</c:v>
                </c:pt>
                <c:pt idx="35">
                  <c:v>1.5957446808510638</c:v>
                </c:pt>
                <c:pt idx="36">
                  <c:v>3.5714285714285712</c:v>
                </c:pt>
                <c:pt idx="37">
                  <c:v>1.0344827586206897</c:v>
                </c:pt>
                <c:pt idx="38">
                  <c:v>5.5555555555555554</c:v>
                </c:pt>
                <c:pt idx="39">
                  <c:v>3.6585365853658538</c:v>
                </c:pt>
                <c:pt idx="40">
                  <c:v>2.054794520547945</c:v>
                </c:pt>
                <c:pt idx="41">
                  <c:v>0.56458897922312556</c:v>
                </c:pt>
                <c:pt idx="42">
                  <c:v>6.1224489795918364</c:v>
                </c:pt>
                <c:pt idx="43">
                  <c:v>3.4883720930232558</c:v>
                </c:pt>
                <c:pt idx="44">
                  <c:v>3.8461538461538463</c:v>
                </c:pt>
                <c:pt idx="45">
                  <c:v>1.6666666666666667</c:v>
                </c:pt>
                <c:pt idx="46">
                  <c:v>0.35714285714285715</c:v>
                </c:pt>
                <c:pt idx="47">
                  <c:v>0.25566729163115731</c:v>
                </c:pt>
                <c:pt idx="48">
                  <c:v>0.36057692307692307</c:v>
                </c:pt>
                <c:pt idx="49">
                  <c:v>0.30612244897959184</c:v>
                </c:pt>
                <c:pt idx="50">
                  <c:v>0.22388059701492538</c:v>
                </c:pt>
                <c:pt idx="51">
                  <c:v>2</c:v>
                </c:pt>
                <c:pt idx="52">
                  <c:v>1.1111111111111112</c:v>
                </c:pt>
                <c:pt idx="53">
                  <c:v>1</c:v>
                </c:pt>
                <c:pt idx="54">
                  <c:v>0.3</c:v>
                </c:pt>
                <c:pt idx="55">
                  <c:v>0.38461538461538464</c:v>
                </c:pt>
                <c:pt idx="56">
                  <c:v>1.0714285714285714</c:v>
                </c:pt>
                <c:pt idx="57">
                  <c:v>1</c:v>
                </c:pt>
                <c:pt idx="58">
                  <c:v>5.3571428571428568</c:v>
                </c:pt>
                <c:pt idx="59">
                  <c:v>5.3571428571428568</c:v>
                </c:pt>
                <c:pt idx="60">
                  <c:v>5.0847457627118642</c:v>
                </c:pt>
                <c:pt idx="61">
                  <c:v>0.35714285714285715</c:v>
                </c:pt>
                <c:pt idx="62">
                  <c:v>0.35714285714285715</c:v>
                </c:pt>
                <c:pt idx="63">
                  <c:v>0.61224489795918369</c:v>
                </c:pt>
                <c:pt idx="64">
                  <c:v>0.5859375</c:v>
                </c:pt>
                <c:pt idx="65">
                  <c:v>0.33333333333333331</c:v>
                </c:pt>
                <c:pt idx="66">
                  <c:v>0.24793388429752067</c:v>
                </c:pt>
                <c:pt idx="67">
                  <c:v>0.3968253968253968</c:v>
                </c:pt>
                <c:pt idx="68">
                  <c:v>2.5</c:v>
                </c:pt>
                <c:pt idx="69">
                  <c:v>12.820512820512819</c:v>
                </c:pt>
                <c:pt idx="70">
                  <c:v>10.714285714285714</c:v>
                </c:pt>
                <c:pt idx="71">
                  <c:v>5.0847457627118642</c:v>
                </c:pt>
                <c:pt idx="72">
                  <c:v>7.8947368421052637</c:v>
                </c:pt>
                <c:pt idx="73">
                  <c:v>5.5555555555555554</c:v>
                </c:pt>
                <c:pt idx="74">
                  <c:v>12.820512820512819</c:v>
                </c:pt>
                <c:pt idx="75">
                  <c:v>1.0714285714285714</c:v>
                </c:pt>
                <c:pt idx="76">
                  <c:v>10.714285714285714</c:v>
                </c:pt>
                <c:pt idx="77">
                  <c:v>12.820512820512819</c:v>
                </c:pt>
                <c:pt idx="78">
                  <c:v>0.33333333333333331</c:v>
                </c:pt>
                <c:pt idx="79">
                  <c:v>5</c:v>
                </c:pt>
                <c:pt idx="80">
                  <c:v>8.3333333333333339</c:v>
                </c:pt>
                <c:pt idx="81">
                  <c:v>5</c:v>
                </c:pt>
                <c:pt idx="82">
                  <c:v>3</c:v>
                </c:pt>
                <c:pt idx="83">
                  <c:v>0.4838709677419355</c:v>
                </c:pt>
                <c:pt idx="84">
                  <c:v>5.3571428571428568</c:v>
                </c:pt>
                <c:pt idx="85">
                  <c:v>10</c:v>
                </c:pt>
                <c:pt idx="86">
                  <c:v>2.6315789473684208</c:v>
                </c:pt>
                <c:pt idx="87">
                  <c:v>5.3571428571428568</c:v>
                </c:pt>
                <c:pt idx="88">
                  <c:v>1.0714285714285714</c:v>
                </c:pt>
                <c:pt idx="89">
                  <c:v>5.3571428571428568</c:v>
                </c:pt>
                <c:pt idx="90">
                  <c:v>3.8461538461538463</c:v>
                </c:pt>
                <c:pt idx="91">
                  <c:v>5.7692307692307692</c:v>
                </c:pt>
                <c:pt idx="92">
                  <c:v>5.1724137931034484</c:v>
                </c:pt>
                <c:pt idx="93">
                  <c:v>0.5</c:v>
                </c:pt>
                <c:pt idx="94">
                  <c:v>0.34802784222737815</c:v>
                </c:pt>
                <c:pt idx="95">
                  <c:v>1.0714285714285714</c:v>
                </c:pt>
                <c:pt idx="96">
                  <c:v>1.1029411764705883</c:v>
                </c:pt>
                <c:pt idx="97">
                  <c:v>0.57692307692307698</c:v>
                </c:pt>
                <c:pt idx="98">
                  <c:v>1.0714285714285714</c:v>
                </c:pt>
                <c:pt idx="99">
                  <c:v>1.0714285714285714</c:v>
                </c:pt>
                <c:pt idx="100">
                  <c:v>5.5555555555555554</c:v>
                </c:pt>
                <c:pt idx="101">
                  <c:v>0.21613832853025935</c:v>
                </c:pt>
                <c:pt idx="102">
                  <c:v>10.526315789473683</c:v>
                </c:pt>
                <c:pt idx="103">
                  <c:v>5.3571428571428568</c:v>
                </c:pt>
                <c:pt idx="104">
                  <c:v>3.8461538461538463</c:v>
                </c:pt>
                <c:pt idx="105">
                  <c:v>5.1724137931034484</c:v>
                </c:pt>
                <c:pt idx="106">
                  <c:v>0.31779661016949151</c:v>
                </c:pt>
                <c:pt idx="107">
                  <c:v>0.36057692307692307</c:v>
                </c:pt>
                <c:pt idx="108">
                  <c:v>1.6129032258064515</c:v>
                </c:pt>
                <c:pt idx="109">
                  <c:v>1.6129032258064515</c:v>
                </c:pt>
                <c:pt idx="110">
                  <c:v>5.5555555555555554</c:v>
                </c:pt>
                <c:pt idx="111">
                  <c:v>1</c:v>
                </c:pt>
                <c:pt idx="112">
                  <c:v>1</c:v>
                </c:pt>
                <c:pt idx="113">
                  <c:v>5.3571428571428568</c:v>
                </c:pt>
                <c:pt idx="114">
                  <c:v>8.3333333333333339</c:v>
                </c:pt>
                <c:pt idx="115">
                  <c:v>5.2264808362369344</c:v>
                </c:pt>
                <c:pt idx="116">
                  <c:v>5.3571428571428568</c:v>
                </c:pt>
                <c:pt idx="117">
                  <c:v>3.8461538461538463</c:v>
                </c:pt>
                <c:pt idx="118">
                  <c:v>3.1779661016949157</c:v>
                </c:pt>
                <c:pt idx="119">
                  <c:v>2.4958402662229617</c:v>
                </c:pt>
                <c:pt idx="120">
                  <c:v>5.3571428571428568</c:v>
                </c:pt>
                <c:pt idx="121">
                  <c:v>3.75</c:v>
                </c:pt>
                <c:pt idx="122">
                  <c:v>5.3571428571428568</c:v>
                </c:pt>
                <c:pt idx="123">
                  <c:v>7.5</c:v>
                </c:pt>
                <c:pt idx="124">
                  <c:v>30</c:v>
                </c:pt>
                <c:pt idx="125">
                  <c:v>4.545454545454545</c:v>
                </c:pt>
                <c:pt idx="126">
                  <c:v>3.8461538461538463</c:v>
                </c:pt>
                <c:pt idx="127">
                  <c:v>1.0638297872340425</c:v>
                </c:pt>
                <c:pt idx="128">
                  <c:v>5.3571428571428568</c:v>
                </c:pt>
                <c:pt idx="129">
                  <c:v>1.948051948051948</c:v>
                </c:pt>
                <c:pt idx="130">
                  <c:v>0.6097560975609756</c:v>
                </c:pt>
                <c:pt idx="131">
                  <c:v>0.22222222222222224</c:v>
                </c:pt>
                <c:pt idx="132">
                  <c:v>1.0714285714285714</c:v>
                </c:pt>
                <c:pt idx="133">
                  <c:v>5.3571428571428568</c:v>
                </c:pt>
                <c:pt idx="134">
                  <c:v>0.24711696869851732</c:v>
                </c:pt>
                <c:pt idx="135">
                  <c:v>5.7121096725057123</c:v>
                </c:pt>
                <c:pt idx="136">
                  <c:v>1.6666666666666667</c:v>
                </c:pt>
                <c:pt idx="137">
                  <c:v>1.6666666666666667</c:v>
                </c:pt>
                <c:pt idx="138">
                  <c:v>0.57692307692307698</c:v>
                </c:pt>
                <c:pt idx="139">
                  <c:v>4.2857142857142856</c:v>
                </c:pt>
                <c:pt idx="140">
                  <c:v>25.862068965517242</c:v>
                </c:pt>
                <c:pt idx="141">
                  <c:v>3.8461538461538463</c:v>
                </c:pt>
                <c:pt idx="142">
                  <c:v>5.3571428571428568</c:v>
                </c:pt>
                <c:pt idx="143">
                  <c:v>5</c:v>
                </c:pt>
                <c:pt idx="144">
                  <c:v>1.0714285714285714</c:v>
                </c:pt>
                <c:pt idx="145">
                  <c:v>5.2264808362369344</c:v>
                </c:pt>
              </c:numCache>
            </c:numRef>
          </c:yVal>
          <c:smooth val="0"/>
          <c:extLst>
            <c:ext xmlns:c16="http://schemas.microsoft.com/office/drawing/2014/chart" uri="{C3380CC4-5D6E-409C-BE32-E72D297353CC}">
              <c16:uniqueId val="{00000000-D76D-4708-80D1-9BE188180093}"/>
            </c:ext>
          </c:extLst>
        </c:ser>
        <c:ser>
          <c:idx val="0"/>
          <c:order val="1"/>
          <c:tx>
            <c:v>TX</c:v>
          </c:tx>
          <c:spPr>
            <a:ln w="25400" cap="rnd">
              <a:noFill/>
              <a:round/>
            </a:ln>
            <a:effectLst/>
          </c:spPr>
          <c:marker>
            <c:symbol val="circle"/>
            <c:size val="7"/>
            <c:spPr>
              <a:solidFill>
                <a:srgbClr val="FF0000">
                  <a:alpha val="70000"/>
                </a:srgbClr>
              </a:solidFill>
              <a:ln w="12700">
                <a:solidFill>
                  <a:schemeClr val="tx1"/>
                </a:solidFill>
              </a:ln>
              <a:effectLst/>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Plot_Data_Element_Size!$D$2:$D$147</c:f>
              <c:numCache>
                <c:formatCode>General</c:formatCode>
                <c:ptCount val="146"/>
                <c:pt idx="0">
                  <c:v>1.7369585487282073</c:v>
                </c:pt>
                <c:pt idx="1">
                  <c:v>#N/A</c:v>
                </c:pt>
                <c:pt idx="2">
                  <c:v>#N/A</c:v>
                </c:pt>
                <c:pt idx="3">
                  <c:v>#N/A</c:v>
                </c:pt>
                <c:pt idx="4">
                  <c:v>2.0128214029068747</c:v>
                </c:pt>
                <c:pt idx="5">
                  <c:v>#N/A</c:v>
                </c:pt>
                <c:pt idx="6">
                  <c:v>#N/A</c:v>
                </c:pt>
                <c:pt idx="7">
                  <c:v>#N/A</c:v>
                </c:pt>
                <c:pt idx="8">
                  <c:v>#N/A</c:v>
                </c:pt>
                <c:pt idx="9">
                  <c:v>#N/A</c:v>
                </c:pt>
                <c:pt idx="10">
                  <c:v>#N/A</c:v>
                </c:pt>
                <c:pt idx="11">
                  <c:v>#N/A</c:v>
                </c:pt>
                <c:pt idx="12">
                  <c:v>#N/A</c:v>
                </c:pt>
                <c:pt idx="13">
                  <c:v>#N/A</c:v>
                </c:pt>
                <c:pt idx="14">
                  <c:v>#N/A</c:v>
                </c:pt>
                <c:pt idx="15">
                  <c:v>#N/A</c:v>
                </c:pt>
                <c:pt idx="16">
                  <c:v>#N/A</c:v>
                </c:pt>
                <c:pt idx="17">
                  <c:v>1.4747881203752624</c:v>
                </c:pt>
                <c:pt idx="18">
                  <c:v>3.5355339059327378</c:v>
                </c:pt>
                <c:pt idx="19">
                  <c:v>3.5355339059327378</c:v>
                </c:pt>
                <c:pt idx="20">
                  <c:v>#N/A</c:v>
                </c:pt>
                <c:pt idx="21">
                  <c:v>1.4535473848485299</c:v>
                </c:pt>
                <c:pt idx="22">
                  <c:v>#N/A</c:v>
                </c:pt>
                <c:pt idx="23">
                  <c:v>#N/A</c:v>
                </c:pt>
                <c:pt idx="24">
                  <c:v>#N/A</c:v>
                </c:pt>
                <c:pt idx="25">
                  <c:v>#N/A</c:v>
                </c:pt>
                <c:pt idx="26">
                  <c:v>#N/A</c:v>
                </c:pt>
                <c:pt idx="27">
                  <c:v>#N/A</c:v>
                </c:pt>
                <c:pt idx="28">
                  <c:v>#N/A</c:v>
                </c:pt>
                <c:pt idx="29">
                  <c:v>#N/A</c:v>
                </c:pt>
                <c:pt idx="30">
                  <c:v>#N/A</c:v>
                </c:pt>
                <c:pt idx="31">
                  <c:v>#N/A</c:v>
                </c:pt>
                <c:pt idx="32">
                  <c:v>#N/A</c:v>
                </c:pt>
                <c:pt idx="33">
                  <c:v>#N/A</c:v>
                </c:pt>
                <c:pt idx="34">
                  <c:v>2.1656407827707715</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0.34205262752974142</c:v>
                </c:pt>
                <c:pt idx="56">
                  <c:v>1.4198591479439078</c:v>
                </c:pt>
                <c:pt idx="57">
                  <c:v>#N/A</c:v>
                </c:pt>
                <c:pt idx="58">
                  <c:v>#N/A</c:v>
                </c:pt>
                <c:pt idx="59">
                  <c:v>#N/A</c:v>
                </c:pt>
                <c:pt idx="60">
                  <c:v>#N/A</c:v>
                </c:pt>
                <c:pt idx="61">
                  <c:v>1.160344776348823</c:v>
                </c:pt>
                <c:pt idx="62">
                  <c:v>#N/A</c:v>
                </c:pt>
                <c:pt idx="63">
                  <c:v>#N/A</c:v>
                </c:pt>
                <c:pt idx="64">
                  <c:v>#N/A</c:v>
                </c:pt>
                <c:pt idx="65">
                  <c:v>#N/A</c:v>
                </c:pt>
                <c:pt idx="66">
                  <c:v>#N/A</c:v>
                </c:pt>
                <c:pt idx="67">
                  <c:v>#N/A</c:v>
                </c:pt>
                <c:pt idx="68">
                  <c:v>1.0074720839804943</c:v>
                </c:pt>
                <c:pt idx="69">
                  <c:v>#N/A</c:v>
                </c:pt>
                <c:pt idx="70">
                  <c:v>#N/A</c:v>
                </c:pt>
                <c:pt idx="71">
                  <c:v>#N/A</c:v>
                </c:pt>
                <c:pt idx="72">
                  <c:v>#N/A</c:v>
                </c:pt>
                <c:pt idx="73">
                  <c:v>#N/A</c:v>
                </c:pt>
                <c:pt idx="74">
                  <c:v>#N/A</c:v>
                </c:pt>
                <c:pt idx="75">
                  <c:v>#N/A</c:v>
                </c:pt>
                <c:pt idx="76">
                  <c:v>#N/A</c:v>
                </c:pt>
                <c:pt idx="77">
                  <c:v>#N/A</c:v>
                </c:pt>
                <c:pt idx="78">
                  <c:v>#N/A</c:v>
                </c:pt>
                <c:pt idx="79">
                  <c:v>1.6248076809271921</c:v>
                </c:pt>
                <c:pt idx="80">
                  <c:v>2.1407475329893524</c:v>
                </c:pt>
                <c:pt idx="81">
                  <c:v>2.1407475329893524</c:v>
                </c:pt>
                <c:pt idx="82">
                  <c:v>2.1407475329893524</c:v>
                </c:pt>
                <c:pt idx="83">
                  <c:v>#N/A</c:v>
                </c:pt>
                <c:pt idx="84">
                  <c:v>#N/A</c:v>
                </c:pt>
                <c:pt idx="85">
                  <c:v>#N/A</c:v>
                </c:pt>
                <c:pt idx="86">
                  <c:v>#N/A</c:v>
                </c:pt>
                <c:pt idx="87">
                  <c:v>1.05</c:v>
                </c:pt>
                <c:pt idx="88">
                  <c:v>#N/A</c:v>
                </c:pt>
                <c:pt idx="89">
                  <c:v>#N/A</c:v>
                </c:pt>
                <c:pt idx="90">
                  <c:v>#N/A</c:v>
                </c:pt>
                <c:pt idx="91">
                  <c:v>#N/A</c:v>
                </c:pt>
                <c:pt idx="92">
                  <c:v>#N/A</c:v>
                </c:pt>
                <c:pt idx="93">
                  <c:v>#N/A</c:v>
                </c:pt>
                <c:pt idx="94">
                  <c:v>#N/A</c:v>
                </c:pt>
                <c:pt idx="95">
                  <c:v>1.0276186062932104</c:v>
                </c:pt>
                <c:pt idx="96">
                  <c:v>2.514756449439985</c:v>
                </c:pt>
                <c:pt idx="97">
                  <c:v>#N/A</c:v>
                </c:pt>
                <c:pt idx="98">
                  <c:v>1.49248115565993</c:v>
                </c:pt>
                <c:pt idx="99">
                  <c:v>#N/A</c:v>
                </c:pt>
                <c:pt idx="100">
                  <c:v>#N/A</c:v>
                </c:pt>
                <c:pt idx="101">
                  <c:v>#N/A</c:v>
                </c:pt>
                <c:pt idx="102">
                  <c:v>#N/A</c:v>
                </c:pt>
                <c:pt idx="103">
                  <c:v>#N/A</c:v>
                </c:pt>
                <c:pt idx="104">
                  <c:v>#N/A</c:v>
                </c:pt>
                <c:pt idx="105">
                  <c:v>#N/A</c:v>
                </c:pt>
                <c:pt idx="106">
                  <c:v>#N/A</c:v>
                </c:pt>
                <c:pt idx="107">
                  <c:v>#N/A</c:v>
                </c:pt>
                <c:pt idx="108">
                  <c:v>1.1490430801323335</c:v>
                </c:pt>
                <c:pt idx="109">
                  <c:v>#N/A</c:v>
                </c:pt>
                <c:pt idx="110">
                  <c:v>#N/A</c:v>
                </c:pt>
                <c:pt idx="111">
                  <c:v>0.98931794687046892</c:v>
                </c:pt>
                <c:pt idx="112">
                  <c:v>#N/A</c:v>
                </c:pt>
                <c:pt idx="113">
                  <c:v>#N/A</c:v>
                </c:pt>
                <c:pt idx="114">
                  <c:v>#N/A</c:v>
                </c:pt>
                <c:pt idx="115">
                  <c:v>2.3118499086229622</c:v>
                </c:pt>
                <c:pt idx="116">
                  <c:v>#N/A</c:v>
                </c:pt>
                <c:pt idx="117">
                  <c:v>#N/A</c:v>
                </c:pt>
                <c:pt idx="118">
                  <c:v>#N/A</c:v>
                </c:pt>
                <c:pt idx="119">
                  <c:v>#N/A</c:v>
                </c:pt>
                <c:pt idx="120">
                  <c:v>#N/A</c:v>
                </c:pt>
                <c:pt idx="121">
                  <c:v>#N/A</c:v>
                </c:pt>
                <c:pt idx="122">
                  <c:v>#N/A</c:v>
                </c:pt>
                <c:pt idx="123">
                  <c:v>#N/A</c:v>
                </c:pt>
                <c:pt idx="124">
                  <c:v>1.8899735447883919</c:v>
                </c:pt>
                <c:pt idx="125">
                  <c:v>1.8899735447883919</c:v>
                </c:pt>
                <c:pt idx="126">
                  <c:v>#N/A</c:v>
                </c:pt>
                <c:pt idx="127">
                  <c:v>#N/A</c:v>
                </c:pt>
                <c:pt idx="128">
                  <c:v>2.0591745919178392</c:v>
                </c:pt>
                <c:pt idx="129">
                  <c:v>0.76472217177220647</c:v>
                </c:pt>
                <c:pt idx="130">
                  <c:v>1.5219789748876296</c:v>
                </c:pt>
                <c:pt idx="131">
                  <c:v>#N/A</c:v>
                </c:pt>
                <c:pt idx="132">
                  <c:v>#N/A</c:v>
                </c:pt>
                <c:pt idx="133">
                  <c:v>#N/A</c:v>
                </c:pt>
                <c:pt idx="134">
                  <c:v>#N/A</c:v>
                </c:pt>
                <c:pt idx="135">
                  <c:v>1.8746733048720783</c:v>
                </c:pt>
                <c:pt idx="136">
                  <c:v>0.78841613377708086</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1-D76D-4708-80D1-9BE188180093}"/>
            </c:ext>
          </c:extLst>
        </c:ser>
        <c:ser>
          <c:idx val="2"/>
          <c:order val="2"/>
          <c:tx>
            <c:v>RX</c:v>
          </c:tx>
          <c:spPr>
            <a:ln w="25400" cap="rnd">
              <a:noFill/>
              <a:round/>
            </a:ln>
            <a:effectLst/>
          </c:spPr>
          <c:marker>
            <c:symbol val="circle"/>
            <c:size val="7"/>
            <c:spPr>
              <a:solidFill>
                <a:srgbClr val="FFC000">
                  <a:alpha val="70000"/>
                </a:srgbClr>
              </a:solidFill>
              <a:ln w="12700">
                <a:solidFill>
                  <a:schemeClr val="tx1"/>
                </a:solidFill>
              </a:ln>
              <a:effectLst/>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Plot_Data_Element_Size!$E$2:$E$147</c:f>
              <c:numCache>
                <c:formatCode>General</c:formatCode>
                <c:ptCount val="146"/>
                <c:pt idx="0">
                  <c:v>#N/A</c:v>
                </c:pt>
                <c:pt idx="1">
                  <c:v>#N/A</c:v>
                </c:pt>
                <c:pt idx="2">
                  <c:v>#N/A</c:v>
                </c:pt>
                <c:pt idx="3">
                  <c:v>1.4866068747318506</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0.78930349042684467</c:v>
                </c:pt>
                <c:pt idx="23">
                  <c:v>#N/A</c:v>
                </c:pt>
                <c:pt idx="24">
                  <c:v>#N/A</c:v>
                </c:pt>
                <c:pt idx="25">
                  <c:v>#N/A</c:v>
                </c:pt>
                <c:pt idx="26">
                  <c:v>2.0734753434752968</c:v>
                </c:pt>
                <c:pt idx="27">
                  <c:v>2.0734753434752968</c:v>
                </c:pt>
                <c:pt idx="28">
                  <c:v>#N/A</c:v>
                </c:pt>
                <c:pt idx="29">
                  <c:v>#N/A</c:v>
                </c:pt>
                <c:pt idx="30">
                  <c:v>#N/A</c:v>
                </c:pt>
                <c:pt idx="31">
                  <c:v>#N/A</c:v>
                </c:pt>
                <c:pt idx="32">
                  <c:v>#N/A</c:v>
                </c:pt>
                <c:pt idx="33">
                  <c:v>#N/A</c:v>
                </c:pt>
                <c:pt idx="34">
                  <c:v>#N/A</c:v>
                </c:pt>
                <c:pt idx="35">
                  <c:v>2.1656407827707715</c:v>
                </c:pt>
                <c:pt idx="36">
                  <c:v>#N/A</c:v>
                </c:pt>
                <c:pt idx="37">
                  <c:v>#N/A</c:v>
                </c:pt>
                <c:pt idx="38">
                  <c:v>3.207366520995067</c:v>
                </c:pt>
                <c:pt idx="39">
                  <c:v>3.207366520995067</c:v>
                </c:pt>
                <c:pt idx="40">
                  <c:v>#N/A</c:v>
                </c:pt>
                <c:pt idx="41">
                  <c:v>#N/A</c:v>
                </c:pt>
                <c:pt idx="42">
                  <c:v>1.2409673645990857</c:v>
                </c:pt>
                <c:pt idx="43">
                  <c:v>1.2409673645990857</c:v>
                </c:pt>
                <c:pt idx="44">
                  <c:v>#N/A</c:v>
                </c:pt>
                <c:pt idx="45">
                  <c:v>#N/A</c:v>
                </c:pt>
                <c:pt idx="46">
                  <c:v>#N/A</c:v>
                </c:pt>
                <c:pt idx="47">
                  <c:v>#N/A</c:v>
                </c:pt>
                <c:pt idx="48">
                  <c:v>#N/A</c:v>
                </c:pt>
                <c:pt idx="49">
                  <c:v>#N/A</c:v>
                </c:pt>
                <c:pt idx="50">
                  <c:v>#N/A</c:v>
                </c:pt>
                <c:pt idx="51">
                  <c:v>#N/A</c:v>
                </c:pt>
                <c:pt idx="52">
                  <c:v>#N/A</c:v>
                </c:pt>
                <c:pt idx="53">
                  <c:v>#N/A</c:v>
                </c:pt>
                <c:pt idx="54">
                  <c:v>0.70936591403872795</c:v>
                </c:pt>
                <c:pt idx="55">
                  <c:v>#N/A</c:v>
                </c:pt>
                <c:pt idx="56">
                  <c:v>#N/A</c:v>
                </c:pt>
                <c:pt idx="57">
                  <c:v>1.4</c:v>
                </c:pt>
                <c:pt idx="58">
                  <c:v>#N/A</c:v>
                </c:pt>
                <c:pt idx="59">
                  <c:v>#N/A</c:v>
                </c:pt>
                <c:pt idx="60">
                  <c:v>#N/A</c:v>
                </c:pt>
                <c:pt idx="61">
                  <c:v>#N/A</c:v>
                </c:pt>
                <c:pt idx="62">
                  <c:v>1.9452506265260525</c:v>
                </c:pt>
                <c:pt idx="63">
                  <c:v>#N/A</c:v>
                </c:pt>
                <c:pt idx="64">
                  <c:v>#N/A</c:v>
                </c:pt>
                <c:pt idx="65">
                  <c:v>#N/A</c:v>
                </c:pt>
                <c:pt idx="66">
                  <c:v>#N/A</c:v>
                </c:pt>
                <c:pt idx="67">
                  <c:v>#N/A</c:v>
                </c:pt>
                <c:pt idx="68">
                  <c:v>#N/A</c:v>
                </c:pt>
                <c:pt idx="69">
                  <c:v>#N/A</c:v>
                </c:pt>
                <c:pt idx="70">
                  <c:v>#N/A</c:v>
                </c:pt>
                <c:pt idx="71">
                  <c:v>#N/A</c:v>
                </c:pt>
                <c:pt idx="72">
                  <c:v>#N/A</c:v>
                </c:pt>
                <c:pt idx="73">
                  <c:v>#N/A</c:v>
                </c:pt>
                <c:pt idx="74">
                  <c:v>#N/A</c:v>
                </c:pt>
                <c:pt idx="75">
                  <c:v>1.9614280511912743</c:v>
                </c:pt>
                <c:pt idx="76">
                  <c:v>#N/A</c:v>
                </c:pt>
                <c:pt idx="77">
                  <c:v>#N/A</c:v>
                </c:pt>
                <c:pt idx="78">
                  <c:v>#N/A</c:v>
                </c:pt>
                <c:pt idx="79">
                  <c:v>#N/A</c:v>
                </c:pt>
                <c:pt idx="80">
                  <c:v>#N/A</c:v>
                </c:pt>
                <c:pt idx="81">
                  <c:v>#N/A</c:v>
                </c:pt>
                <c:pt idx="82">
                  <c:v>#N/A</c:v>
                </c:pt>
                <c:pt idx="83">
                  <c:v>#N/A</c:v>
                </c:pt>
                <c:pt idx="84">
                  <c:v>#N/A</c:v>
                </c:pt>
                <c:pt idx="85">
                  <c:v>1.9064758062981024</c:v>
                </c:pt>
                <c:pt idx="86">
                  <c:v>1.9064758062981024</c:v>
                </c:pt>
                <c:pt idx="87">
                  <c:v>#N/A</c:v>
                </c:pt>
                <c:pt idx="88">
                  <c:v>#N/A</c:v>
                </c:pt>
                <c:pt idx="89">
                  <c:v>#N/A</c:v>
                </c:pt>
                <c:pt idx="90">
                  <c:v>#N/A</c:v>
                </c:pt>
                <c:pt idx="91">
                  <c:v>0.98178409031721425</c:v>
                </c:pt>
                <c:pt idx="92">
                  <c:v>1.0786565718522276</c:v>
                </c:pt>
                <c:pt idx="93">
                  <c:v>0.34641016151377546</c:v>
                </c:pt>
                <c:pt idx="94">
                  <c:v>#N/A</c:v>
                </c:pt>
                <c:pt idx="95">
                  <c:v>#N/A</c:v>
                </c:pt>
                <c:pt idx="96">
                  <c:v>#N/A</c:v>
                </c:pt>
                <c:pt idx="97">
                  <c:v>#N/A</c:v>
                </c:pt>
                <c:pt idx="98">
                  <c:v>#N/A</c:v>
                </c:pt>
                <c:pt idx="99">
                  <c:v>1.49248115565993</c:v>
                </c:pt>
                <c:pt idx="100">
                  <c:v>#N/A</c:v>
                </c:pt>
                <c:pt idx="101">
                  <c:v>#N/A</c:v>
                </c:pt>
                <c:pt idx="102">
                  <c:v>#N/A</c:v>
                </c:pt>
                <c:pt idx="103">
                  <c:v>#N/A</c:v>
                </c:pt>
                <c:pt idx="104">
                  <c:v>#N/A</c:v>
                </c:pt>
                <c:pt idx="105">
                  <c:v>#N/A</c:v>
                </c:pt>
                <c:pt idx="106">
                  <c:v>#N/A</c:v>
                </c:pt>
                <c:pt idx="107">
                  <c:v>#N/A</c:v>
                </c:pt>
                <c:pt idx="108">
                  <c:v>#N/A</c:v>
                </c:pt>
                <c:pt idx="109">
                  <c:v>1.1490430801323335</c:v>
                </c:pt>
                <c:pt idx="110">
                  <c:v>#N/A</c:v>
                </c:pt>
                <c:pt idx="111">
                  <c:v>#N/A</c:v>
                </c:pt>
                <c:pt idx="112">
                  <c:v>0.96072888995803596</c:v>
                </c:pt>
                <c:pt idx="113">
                  <c:v>#N/A</c:v>
                </c:pt>
                <c:pt idx="114">
                  <c:v>1.6412495239907916</c:v>
                </c:pt>
                <c:pt idx="115">
                  <c:v>#N/A</c:v>
                </c:pt>
                <c:pt idx="116">
                  <c:v>1.944222209522358</c:v>
                </c:pt>
                <c:pt idx="117">
                  <c:v>1.944222209522358</c:v>
                </c:pt>
                <c:pt idx="118">
                  <c:v>1.944222209522358</c:v>
                </c:pt>
                <c:pt idx="119">
                  <c:v>1.944222209522358</c:v>
                </c:pt>
                <c:pt idx="120">
                  <c:v>0.92466210044534647</c:v>
                </c:pt>
                <c:pt idx="121">
                  <c:v>0.92466210044534647</c:v>
                </c:pt>
                <c:pt idx="122">
                  <c:v>#N/A</c:v>
                </c:pt>
                <c:pt idx="123">
                  <c:v>2.9300170647967221</c:v>
                </c:pt>
                <c:pt idx="124">
                  <c:v>#N/A</c:v>
                </c:pt>
                <c:pt idx="125">
                  <c:v>#N/A</c:v>
                </c:pt>
                <c:pt idx="126">
                  <c:v>#N/A</c:v>
                </c:pt>
                <c:pt idx="127">
                  <c:v>#N/A</c:v>
                </c:pt>
                <c:pt idx="128">
                  <c:v>#N/A</c:v>
                </c:pt>
                <c:pt idx="129">
                  <c:v>#N/A</c:v>
                </c:pt>
                <c:pt idx="130">
                  <c:v>#N/A</c:v>
                </c:pt>
                <c:pt idx="131">
                  <c:v>#N/A</c:v>
                </c:pt>
                <c:pt idx="132">
                  <c:v>1.1907140714714006</c:v>
                </c:pt>
                <c:pt idx="133">
                  <c:v>2.075752875464707</c:v>
                </c:pt>
                <c:pt idx="134">
                  <c:v>#N/A</c:v>
                </c:pt>
                <c:pt idx="135">
                  <c:v>#N/A</c:v>
                </c:pt>
                <c:pt idx="136">
                  <c:v>#N/A</c:v>
                </c:pt>
                <c:pt idx="137">
                  <c:v>0.95367709419907953</c:v>
                </c:pt>
                <c:pt idx="138">
                  <c:v>#N/A</c:v>
                </c:pt>
                <c:pt idx="139">
                  <c:v>#N/A</c:v>
                </c:pt>
                <c:pt idx="140">
                  <c:v>#N/A</c:v>
                </c:pt>
                <c:pt idx="141">
                  <c:v>#N/A</c:v>
                </c:pt>
                <c:pt idx="142">
                  <c:v>#N/A</c:v>
                </c:pt>
                <c:pt idx="143">
                  <c:v>1.6032467059064865</c:v>
                </c:pt>
                <c:pt idx="144">
                  <c:v>#N/A</c:v>
                </c:pt>
                <c:pt idx="145">
                  <c:v>#N/A</c:v>
                </c:pt>
              </c:numCache>
            </c:numRef>
          </c:yVal>
          <c:smooth val="0"/>
          <c:extLst>
            <c:ext xmlns:c16="http://schemas.microsoft.com/office/drawing/2014/chart" uri="{C3380CC4-5D6E-409C-BE32-E72D297353CC}">
              <c16:uniqueId val="{00000002-D76D-4708-80D1-9BE188180093}"/>
            </c:ext>
          </c:extLst>
        </c:ser>
        <c:ser>
          <c:idx val="3"/>
          <c:order val="3"/>
          <c:tx>
            <c:v>TRX</c:v>
          </c:tx>
          <c:spPr>
            <a:ln w="25400" cap="rnd">
              <a:noFill/>
              <a:round/>
            </a:ln>
            <a:effectLst/>
          </c:spPr>
          <c:marker>
            <c:symbol val="circle"/>
            <c:size val="7"/>
            <c:spPr>
              <a:solidFill>
                <a:srgbClr val="7030A0">
                  <a:alpha val="50000"/>
                </a:srgbClr>
              </a:solidFill>
              <a:ln w="12700">
                <a:solidFill>
                  <a:schemeClr val="tx1">
                    <a:alpha val="95000"/>
                  </a:schemeClr>
                </a:solidFill>
              </a:ln>
              <a:effectLst/>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Plot_Data_Element_Size!$F$2:$F$147</c:f>
              <c:numCache>
                <c:formatCode>General</c:formatCode>
                <c:ptCount val="146"/>
                <c:pt idx="0">
                  <c:v>#N/A</c:v>
                </c:pt>
                <c:pt idx="1">
                  <c:v>1.6722805453099736</c:v>
                </c:pt>
                <c:pt idx="2">
                  <c:v>1.5714626944347103</c:v>
                </c:pt>
                <c:pt idx="3">
                  <c:v>#N/A</c:v>
                </c:pt>
                <c:pt idx="4">
                  <c:v>#N/A</c:v>
                </c:pt>
                <c:pt idx="5">
                  <c:v>#N/A</c:v>
                </c:pt>
                <c:pt idx="6">
                  <c:v>#N/A</c:v>
                </c:pt>
                <c:pt idx="7">
                  <c:v>#N/A</c:v>
                </c:pt>
                <c:pt idx="8">
                  <c:v>0.78262379212492639</c:v>
                </c:pt>
                <c:pt idx="9">
                  <c:v>1.5683869101723591</c:v>
                </c:pt>
                <c:pt idx="10">
                  <c:v>1.4695917800532228</c:v>
                </c:pt>
                <c:pt idx="11">
                  <c:v>#N/A</c:v>
                </c:pt>
                <c:pt idx="12">
                  <c:v>#N/A</c:v>
                </c:pt>
                <c:pt idx="13">
                  <c:v>0.93570828787608806</c:v>
                </c:pt>
                <c:pt idx="14">
                  <c:v>1.4633181472256811</c:v>
                </c:pt>
                <c:pt idx="15">
                  <c:v>1.4633181472256811</c:v>
                </c:pt>
                <c:pt idx="16">
                  <c:v>#N/A</c:v>
                </c:pt>
                <c:pt idx="17">
                  <c:v>#N/A</c:v>
                </c:pt>
                <c:pt idx="18">
                  <c:v>#N/A</c:v>
                </c:pt>
                <c:pt idx="19">
                  <c:v>#N/A</c:v>
                </c:pt>
                <c:pt idx="20">
                  <c:v>3.0960478839966288</c:v>
                </c:pt>
                <c:pt idx="21">
                  <c:v>#N/A</c:v>
                </c:pt>
                <c:pt idx="22">
                  <c:v>#N/A</c:v>
                </c:pt>
                <c:pt idx="23">
                  <c:v>#N/A</c:v>
                </c:pt>
                <c:pt idx="24">
                  <c:v>2.0892103771520953</c:v>
                </c:pt>
                <c:pt idx="25">
                  <c:v>2.0892103771520953</c:v>
                </c:pt>
                <c:pt idx="26">
                  <c:v>#N/A</c:v>
                </c:pt>
                <c:pt idx="27">
                  <c:v>#N/A</c:v>
                </c:pt>
                <c:pt idx="28">
                  <c:v>1.5091719583930785</c:v>
                </c:pt>
                <c:pt idx="29">
                  <c:v>1.1138110252641604</c:v>
                </c:pt>
                <c:pt idx="30">
                  <c:v>1.6309506430300089</c:v>
                </c:pt>
                <c:pt idx="31">
                  <c:v>1.6309506430300089</c:v>
                </c:pt>
                <c:pt idx="32">
                  <c:v>#N/A</c:v>
                </c:pt>
                <c:pt idx="33">
                  <c:v>1.527088733505686</c:v>
                </c:pt>
                <c:pt idx="34">
                  <c:v>#N/A</c:v>
                </c:pt>
                <c:pt idx="35">
                  <c:v>#N/A</c:v>
                </c:pt>
                <c:pt idx="36">
                  <c:v>#N/A</c:v>
                </c:pt>
                <c:pt idx="37">
                  <c:v>2.499919998719959</c:v>
                </c:pt>
                <c:pt idx="38">
                  <c:v>#N/A</c:v>
                </c:pt>
                <c:pt idx="39">
                  <c:v>#N/A</c:v>
                </c:pt>
                <c:pt idx="40">
                  <c:v>1.1224972160321824</c:v>
                </c:pt>
                <c:pt idx="41">
                  <c:v>3.03315017762062</c:v>
                </c:pt>
                <c:pt idx="42">
                  <c:v>#N/A</c:v>
                </c:pt>
                <c:pt idx="43">
                  <c:v>#N/A</c:v>
                </c:pt>
                <c:pt idx="44">
                  <c:v>1.5779020882171364</c:v>
                </c:pt>
                <c:pt idx="45">
                  <c:v>#N/A</c:v>
                </c:pt>
                <c:pt idx="46">
                  <c:v>#N/A</c:v>
                </c:pt>
                <c:pt idx="47">
                  <c:v>#N/A</c:v>
                </c:pt>
                <c:pt idx="48">
                  <c:v>#N/A</c:v>
                </c:pt>
                <c:pt idx="49">
                  <c:v>#N/A</c:v>
                </c:pt>
                <c:pt idx="50">
                  <c:v>#N/A</c:v>
                </c:pt>
                <c:pt idx="51">
                  <c:v>1.6877499814842245</c:v>
                </c:pt>
                <c:pt idx="52">
                  <c:v>2.9827839345148686</c:v>
                </c:pt>
                <c:pt idx="53">
                  <c:v>2.9827839345148686</c:v>
                </c:pt>
                <c:pt idx="54">
                  <c:v>#N/A</c:v>
                </c:pt>
                <c:pt idx="55">
                  <c:v>#N/A</c:v>
                </c:pt>
                <c:pt idx="56">
                  <c:v>#N/A</c:v>
                </c:pt>
                <c:pt idx="57">
                  <c:v>#N/A</c:v>
                </c:pt>
                <c:pt idx="58">
                  <c:v>1.567242801865748</c:v>
                </c:pt>
                <c:pt idx="59">
                  <c:v>#N/A</c:v>
                </c:pt>
                <c:pt idx="60">
                  <c:v>#N/A</c:v>
                </c:pt>
                <c:pt idx="61">
                  <c:v>#N/A</c:v>
                </c:pt>
                <c:pt idx="62">
                  <c:v>#N/A</c:v>
                </c:pt>
                <c:pt idx="63">
                  <c:v>#N/A</c:v>
                </c:pt>
                <c:pt idx="64">
                  <c:v>1.8432308591166762</c:v>
                </c:pt>
                <c:pt idx="65">
                  <c:v>#N/A</c:v>
                </c:pt>
                <c:pt idx="66">
                  <c:v>#N/A</c:v>
                </c:pt>
                <c:pt idx="67">
                  <c:v>1.0068763578513502</c:v>
                </c:pt>
                <c:pt idx="68">
                  <c:v>#N/A</c:v>
                </c:pt>
                <c:pt idx="69">
                  <c:v>#N/A</c:v>
                </c:pt>
                <c:pt idx="70">
                  <c:v>#N/A</c:v>
                </c:pt>
                <c:pt idx="71">
                  <c:v>#N/A</c:v>
                </c:pt>
                <c:pt idx="72">
                  <c:v>1.6355427233796125</c:v>
                </c:pt>
                <c:pt idx="73">
                  <c:v>1.6355427233796125</c:v>
                </c:pt>
                <c:pt idx="74">
                  <c:v>#N/A</c:v>
                </c:pt>
                <c:pt idx="75">
                  <c:v>#N/A</c:v>
                </c:pt>
                <c:pt idx="76">
                  <c:v>#N/A</c:v>
                </c:pt>
                <c:pt idx="77">
                  <c:v>#N/A</c:v>
                </c:pt>
                <c:pt idx="78">
                  <c:v>#N/A</c:v>
                </c:pt>
                <c:pt idx="79">
                  <c:v>#N/A</c:v>
                </c:pt>
                <c:pt idx="80">
                  <c:v>#N/A</c:v>
                </c:pt>
                <c:pt idx="81">
                  <c:v>#N/A</c:v>
                </c:pt>
                <c:pt idx="82">
                  <c:v>#N/A</c:v>
                </c:pt>
                <c:pt idx="83">
                  <c:v>0.76892782496148493</c:v>
                </c:pt>
                <c:pt idx="84">
                  <c:v>#N/A</c:v>
                </c:pt>
                <c:pt idx="85">
                  <c:v>#N/A</c:v>
                </c:pt>
                <c:pt idx="86">
                  <c:v>#N/A</c:v>
                </c:pt>
                <c:pt idx="87">
                  <c:v>#N/A</c:v>
                </c:pt>
                <c:pt idx="88">
                  <c:v>1.5840454538932902</c:v>
                </c:pt>
                <c:pt idx="89">
                  <c:v>0.94649352876815795</c:v>
                </c:pt>
                <c:pt idx="90">
                  <c:v>0.94649352876815795</c:v>
                </c:pt>
                <c:pt idx="91">
                  <c:v>#N/A</c:v>
                </c:pt>
                <c:pt idx="92">
                  <c:v>#N/A</c:v>
                </c:pt>
                <c:pt idx="93">
                  <c:v>#N/A</c:v>
                </c:pt>
                <c:pt idx="94">
                  <c:v>#N/A</c:v>
                </c:pt>
                <c:pt idx="95">
                  <c:v>#N/A</c:v>
                </c:pt>
                <c:pt idx="96">
                  <c:v>#N/A</c:v>
                </c:pt>
                <c:pt idx="97">
                  <c:v>#N/A</c:v>
                </c:pt>
                <c:pt idx="98">
                  <c:v>#N/A</c:v>
                </c:pt>
                <c:pt idx="99">
                  <c:v>#N/A</c:v>
                </c:pt>
                <c:pt idx="100">
                  <c:v>2.1415998692566265</c:v>
                </c:pt>
                <c:pt idx="101">
                  <c:v>#N/A</c:v>
                </c:pt>
                <c:pt idx="102">
                  <c:v>#N/A</c:v>
                </c:pt>
                <c:pt idx="103">
                  <c:v>#N/A</c:v>
                </c:pt>
                <c:pt idx="104">
                  <c:v>#N/A</c:v>
                </c:pt>
                <c:pt idx="105">
                  <c:v>#N/A</c:v>
                </c:pt>
                <c:pt idx="106">
                  <c:v>#N/A</c:v>
                </c:pt>
                <c:pt idx="107">
                  <c:v>#N/A</c:v>
                </c:pt>
                <c:pt idx="108">
                  <c:v>#N/A</c:v>
                </c:pt>
                <c:pt idx="109">
                  <c:v>#N/A</c:v>
                </c:pt>
                <c:pt idx="110">
                  <c:v>1.9178112524437851</c:v>
                </c:pt>
                <c:pt idx="111">
                  <c:v>#N/A</c:v>
                </c:pt>
                <c:pt idx="112">
                  <c:v>#N/A</c:v>
                </c:pt>
                <c:pt idx="113">
                  <c:v>0.88593171294406203</c:v>
                </c:pt>
                <c:pt idx="114">
                  <c:v>#N/A</c:v>
                </c:pt>
                <c:pt idx="115">
                  <c:v>#N/A</c:v>
                </c:pt>
                <c:pt idx="116">
                  <c:v>#N/A</c:v>
                </c:pt>
                <c:pt idx="117">
                  <c:v>#N/A</c:v>
                </c:pt>
                <c:pt idx="118">
                  <c:v>#N/A</c:v>
                </c:pt>
                <c:pt idx="119">
                  <c:v>#N/A</c:v>
                </c:pt>
                <c:pt idx="120">
                  <c:v>#N/A</c:v>
                </c:pt>
                <c:pt idx="121">
                  <c:v>#N/A</c:v>
                </c:pt>
                <c:pt idx="122">
                  <c:v>1.0822545911198529</c:v>
                </c:pt>
                <c:pt idx="123">
                  <c:v>#N/A</c:v>
                </c:pt>
                <c:pt idx="124">
                  <c:v>#N/A</c:v>
                </c:pt>
                <c:pt idx="125">
                  <c:v>#N/A</c:v>
                </c:pt>
                <c:pt idx="126">
                  <c:v>2.16794833886788</c:v>
                </c:pt>
                <c:pt idx="127">
                  <c:v>2.4313576454318686</c:v>
                </c:pt>
                <c:pt idx="128">
                  <c:v>#N/A</c:v>
                </c:pt>
                <c:pt idx="129">
                  <c:v>#N/A</c:v>
                </c:pt>
                <c:pt idx="130">
                  <c:v>#N/A</c:v>
                </c:pt>
                <c:pt idx="131">
                  <c:v>#N/A</c:v>
                </c:pt>
                <c:pt idx="132">
                  <c:v>#N/A</c:v>
                </c:pt>
                <c:pt idx="133">
                  <c:v>#N/A</c:v>
                </c:pt>
                <c:pt idx="134">
                  <c:v>#N/A</c:v>
                </c:pt>
                <c:pt idx="135">
                  <c:v>#N/A</c:v>
                </c:pt>
                <c:pt idx="136">
                  <c:v>#N/A</c:v>
                </c:pt>
                <c:pt idx="137">
                  <c:v>#N/A</c:v>
                </c:pt>
                <c:pt idx="138">
                  <c:v>#N/A</c:v>
                </c:pt>
                <c:pt idx="139">
                  <c:v>2.1637005338077633</c:v>
                </c:pt>
                <c:pt idx="140">
                  <c:v>0.60855018965844832</c:v>
                </c:pt>
                <c:pt idx="141">
                  <c:v>1.4615573885414148</c:v>
                </c:pt>
                <c:pt idx="142">
                  <c:v>#N/A</c:v>
                </c:pt>
                <c:pt idx="143">
                  <c:v>#N/A</c:v>
                </c:pt>
                <c:pt idx="144">
                  <c:v>1.1365277110986947</c:v>
                </c:pt>
                <c:pt idx="145">
                  <c:v>#N/A</c:v>
                </c:pt>
              </c:numCache>
            </c:numRef>
          </c:yVal>
          <c:smooth val="0"/>
          <c:extLst>
            <c:ext xmlns:c16="http://schemas.microsoft.com/office/drawing/2014/chart" uri="{C3380CC4-5D6E-409C-BE32-E72D297353CC}">
              <c16:uniqueId val="{00000003-D76D-4708-80D1-9BE188180093}"/>
            </c:ext>
          </c:extLst>
        </c:ser>
        <c:ser>
          <c:idx val="4"/>
          <c:order val="4"/>
          <c:tx>
            <c:v>Oscillator</c:v>
          </c:tx>
          <c:spPr>
            <a:ln w="25400" cap="rnd">
              <a:noFill/>
              <a:round/>
            </a:ln>
            <a:effectLst/>
          </c:spPr>
          <c:marker>
            <c:symbol val="circle"/>
            <c:size val="7"/>
            <c:spPr>
              <a:solidFill>
                <a:srgbClr val="00B050">
                  <a:alpha val="70000"/>
                </a:srgbClr>
              </a:solidFill>
              <a:ln w="12700">
                <a:solidFill>
                  <a:schemeClr val="tx1"/>
                </a:solidFill>
              </a:ln>
              <a:effectLst/>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Plot_Data_Element_Size!$G$2:$G$147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0.59245252974394502</c:v>
                </c:pt>
                <c:pt idx="13">
                  <c:v>#N/A</c:v>
                </c:pt>
                <c:pt idx="14">
                  <c:v>#N/A</c:v>
                </c:pt>
                <c:pt idx="15">
                  <c:v>#N/A</c:v>
                </c:pt>
                <c:pt idx="16">
                  <c:v>#N/A</c:v>
                </c:pt>
                <c:pt idx="17">
                  <c:v>#N/A</c:v>
                </c:pt>
                <c:pt idx="18">
                  <c:v>#N/A</c:v>
                </c:pt>
                <c:pt idx="19">
                  <c:v>#N/A</c:v>
                </c:pt>
                <c:pt idx="20">
                  <c:v>#N/A</c:v>
                </c:pt>
                <c:pt idx="21">
                  <c:v>#N/A</c:v>
                </c:pt>
                <c:pt idx="22">
                  <c:v>#N/A</c:v>
                </c:pt>
                <c:pt idx="23">
                  <c:v>0.64156059729381754</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0.53429275682906274</c:v>
                </c:pt>
                <c:pt idx="47">
                  <c:v>0.19436506316151</c:v>
                </c:pt>
                <c:pt idx="48">
                  <c:v>0.51441714590398324</c:v>
                </c:pt>
                <c:pt idx="49">
                  <c:v>1.4943225890014513</c:v>
                </c:pt>
                <c:pt idx="50">
                  <c:v>0.28284271247461906</c:v>
                </c:pt>
                <c:pt idx="51">
                  <c:v>#N/A</c:v>
                </c:pt>
                <c:pt idx="52">
                  <c:v>#N/A</c:v>
                </c:pt>
                <c:pt idx="53">
                  <c:v>#N/A</c:v>
                </c:pt>
                <c:pt idx="54">
                  <c:v>#N/A</c:v>
                </c:pt>
                <c:pt idx="55">
                  <c:v>#N/A</c:v>
                </c:pt>
                <c:pt idx="56">
                  <c:v>#N/A</c:v>
                </c:pt>
                <c:pt idx="57">
                  <c:v>#N/A</c:v>
                </c:pt>
                <c:pt idx="58">
                  <c:v>#N/A</c:v>
                </c:pt>
                <c:pt idx="59">
                  <c:v>#N/A</c:v>
                </c:pt>
                <c:pt idx="60">
                  <c:v>#N/A</c:v>
                </c:pt>
                <c:pt idx="61">
                  <c:v>#N/A</c:v>
                </c:pt>
                <c:pt idx="62">
                  <c:v>#N/A</c:v>
                </c:pt>
                <c:pt idx="63">
                  <c:v>0.51497572758334931</c:v>
                </c:pt>
                <c:pt idx="64">
                  <c:v>#N/A</c:v>
                </c:pt>
                <c:pt idx="65">
                  <c:v>0.53425515573419735</c:v>
                </c:pt>
                <c:pt idx="66">
                  <c:v>0.11631852818876277</c:v>
                </c:pt>
                <c:pt idx="67">
                  <c:v>#N/A</c:v>
                </c:pt>
                <c:pt idx="68">
                  <c:v>#N/A</c:v>
                </c:pt>
                <c:pt idx="69">
                  <c:v>#N/A</c:v>
                </c:pt>
                <c:pt idx="70">
                  <c:v>#N/A</c:v>
                </c:pt>
                <c:pt idx="71">
                  <c:v>#N/A</c:v>
                </c:pt>
                <c:pt idx="72">
                  <c:v>#N/A</c:v>
                </c:pt>
                <c:pt idx="73">
                  <c:v>#N/A</c:v>
                </c:pt>
                <c:pt idx="74">
                  <c:v>#N/A</c:v>
                </c:pt>
                <c:pt idx="75">
                  <c:v>#N/A</c:v>
                </c:pt>
                <c:pt idx="76">
                  <c:v>#N/A</c:v>
                </c:pt>
                <c:pt idx="77">
                  <c:v>#N/A</c:v>
                </c:pt>
                <c:pt idx="78">
                  <c:v>0.26191601707417589</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0.37698806347151098</c:v>
                </c:pt>
                <c:pt idx="95">
                  <c:v>#N/A</c:v>
                </c:pt>
                <c:pt idx="96">
                  <c:v>#N/A</c:v>
                </c:pt>
                <c:pt idx="97">
                  <c:v>#N/A</c:v>
                </c:pt>
                <c:pt idx="98">
                  <c:v>#N/A</c:v>
                </c:pt>
                <c:pt idx="99">
                  <c:v>#N/A</c:v>
                </c:pt>
                <c:pt idx="100">
                  <c:v>#N/A</c:v>
                </c:pt>
                <c:pt idx="101">
                  <c:v>0.27708302004994823</c:v>
                </c:pt>
                <c:pt idx="102">
                  <c:v>#N/A</c:v>
                </c:pt>
                <c:pt idx="103">
                  <c:v>#N/A</c:v>
                </c:pt>
                <c:pt idx="104">
                  <c:v>#N/A</c:v>
                </c:pt>
                <c:pt idx="105">
                  <c:v>#N/A</c:v>
                </c:pt>
                <c:pt idx="106">
                  <c:v>0.26457513110645903</c:v>
                </c:pt>
                <c:pt idx="107">
                  <c:v>0.52855936279664939</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0.19364916731037085</c:v>
                </c:pt>
                <c:pt idx="132">
                  <c:v>#N/A</c:v>
                </c:pt>
                <c:pt idx="133">
                  <c:v>#N/A</c:v>
                </c:pt>
                <c:pt idx="134">
                  <c:v>0.27930717856868631</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4-D76D-4708-80D1-9BE188180093}"/>
            </c:ext>
          </c:extLst>
        </c:ser>
        <c:ser>
          <c:idx val="5"/>
          <c:order val="5"/>
          <c:tx>
            <c:v>Relay</c:v>
          </c:tx>
          <c:spPr>
            <a:ln w="25400" cap="rnd">
              <a:noFill/>
              <a:round/>
            </a:ln>
            <a:effectLst/>
          </c:spPr>
          <c:marker>
            <c:symbol val="circle"/>
            <c:size val="7"/>
            <c:spPr>
              <a:solidFill>
                <a:srgbClr val="00B0F0">
                  <a:alpha val="70000"/>
                </a:srgbClr>
              </a:solidFill>
              <a:ln w="12700">
                <a:solidFill>
                  <a:schemeClr val="tx1"/>
                </a:solidFill>
              </a:ln>
              <a:effectLst/>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Plot_Data_Element_Size!$H$2:$H$147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0.54662601474865791</c:v>
                </c:pt>
                <c:pt idx="85">
                  <c:v>#N/A</c:v>
                </c:pt>
                <c:pt idx="86">
                  <c:v>#N/A</c:v>
                </c:pt>
                <c:pt idx="87">
                  <c:v>#N/A</c:v>
                </c:pt>
                <c:pt idx="88">
                  <c:v>#N/A</c:v>
                </c:pt>
                <c:pt idx="89">
                  <c:v>#N/A</c:v>
                </c:pt>
                <c:pt idx="90">
                  <c:v>#N/A</c:v>
                </c:pt>
                <c:pt idx="91">
                  <c:v>#N/A</c:v>
                </c:pt>
                <c:pt idx="92">
                  <c:v>#N/A</c:v>
                </c:pt>
                <c:pt idx="93">
                  <c:v>#N/A</c:v>
                </c:pt>
                <c:pt idx="94">
                  <c:v>#N/A</c:v>
                </c:pt>
                <c:pt idx="95">
                  <c:v>#N/A</c:v>
                </c:pt>
                <c:pt idx="96">
                  <c:v>#N/A</c:v>
                </c:pt>
                <c:pt idx="97">
                  <c:v>0.5714285714285714</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0.84209560027350816</c:v>
                </c:pt>
                <c:pt idx="139">
                  <c:v>#N/A</c:v>
                </c:pt>
                <c:pt idx="140">
                  <c:v>#N/A</c:v>
                </c:pt>
                <c:pt idx="141">
                  <c:v>#N/A</c:v>
                </c:pt>
                <c:pt idx="142">
                  <c:v>1.8029004409561831</c:v>
                </c:pt>
                <c:pt idx="143">
                  <c:v>#N/A</c:v>
                </c:pt>
                <c:pt idx="144">
                  <c:v>#N/A</c:v>
                </c:pt>
                <c:pt idx="145">
                  <c:v>#N/A</c:v>
                </c:pt>
              </c:numCache>
            </c:numRef>
          </c:yVal>
          <c:smooth val="0"/>
          <c:extLst>
            <c:ext xmlns:c16="http://schemas.microsoft.com/office/drawing/2014/chart" uri="{C3380CC4-5D6E-409C-BE32-E72D297353CC}">
              <c16:uniqueId val="{00000005-D76D-4708-80D1-9BE188180093}"/>
            </c:ext>
          </c:extLst>
        </c:ser>
        <c:dLbls>
          <c:showLegendKey val="0"/>
          <c:showVal val="0"/>
          <c:showCatName val="0"/>
          <c:showSerName val="0"/>
          <c:showPercent val="0"/>
          <c:showBubbleSize val="0"/>
        </c:dLbls>
        <c:axId val="422369567"/>
        <c:axId val="923243183"/>
      </c:scatterChart>
      <c:valAx>
        <c:axId val="422369567"/>
        <c:scaling>
          <c:logBase val="10"/>
          <c:orientation val="minMax"/>
          <c:max val="1000"/>
          <c:min val="10"/>
        </c:scaling>
        <c:delete val="0"/>
        <c:axPos val="b"/>
        <c:majorGridlines>
          <c:spPr>
            <a:ln w="15875" cap="flat" cmpd="sng" algn="ctr">
              <a:solidFill>
                <a:schemeClr val="bg1">
                  <a:lumMod val="75000"/>
                </a:schemeClr>
              </a:solidFill>
              <a:prstDash val="sysDash"/>
              <a:round/>
            </a:ln>
            <a:effectLst/>
          </c:spPr>
        </c:majorGridlines>
        <c:minorGridlines>
          <c:spPr>
            <a:ln w="9525" cap="flat" cmpd="sng" algn="ctr">
              <a:solidFill>
                <a:schemeClr val="bg1">
                  <a:lumMod val="85000"/>
                </a:schemeClr>
              </a:solidFill>
              <a:round/>
            </a:ln>
            <a:effectLst/>
          </c:spPr>
        </c:min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 Frequency (GHz)</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923243183"/>
        <c:crosses val="autoZero"/>
        <c:crossBetween val="midCat"/>
        <c:majorUnit val="10"/>
      </c:valAx>
      <c:valAx>
        <c:axId val="923243183"/>
        <c:scaling>
          <c:logBase val="10"/>
          <c:orientation val="minMax"/>
          <c:min val="1.0000000000000002E-2"/>
        </c:scaling>
        <c:delete val="0"/>
        <c:axPos val="l"/>
        <c:majorGridlines>
          <c:spPr>
            <a:ln w="15875" cap="flat" cmpd="sng" algn="ctr">
              <a:solidFill>
                <a:schemeClr val="bg1">
                  <a:lumMod val="75000"/>
                </a:schemeClr>
              </a:solidFill>
              <a:prstDash val="sysDash"/>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l-GR"/>
                  <a:t>λ</a:t>
                </a:r>
                <a:r>
                  <a:rPr lang="en-US"/>
                  <a:t>/2 in Air and √area (mm)</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422369567"/>
        <c:crosses val="autoZero"/>
        <c:crossBetween val="midCat"/>
      </c:valAx>
      <c:spPr>
        <a:noFill/>
        <a:ln w="25400">
          <a:solidFill>
            <a:schemeClr val="tx1"/>
          </a:solidFill>
        </a:ln>
        <a:effectLst/>
      </c:spPr>
    </c:plotArea>
    <c:legend>
      <c:legendPos val="r"/>
      <c:legendEntry>
        <c:idx val="0"/>
        <c:delete val="1"/>
      </c:legendEntry>
      <c:layout>
        <c:manualLayout>
          <c:xMode val="edge"/>
          <c:yMode val="edge"/>
          <c:x val="0.18643010500338594"/>
          <c:y val="0.70599116226492653"/>
          <c:w val="0.4525937823424992"/>
          <c:h val="0.10317574490134522"/>
        </c:manualLayout>
      </c:layout>
      <c:overlay val="1"/>
      <c:spPr>
        <a:solidFill>
          <a:schemeClr val="bg1"/>
        </a:solidFill>
        <a:ln w="15240">
          <a:solidFill>
            <a:schemeClr val="tx1"/>
          </a:solid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Array Element Area - All Entries</a:t>
            </a:r>
          </a:p>
        </c:rich>
      </c:tx>
      <c:overlay val="0"/>
      <c:spPr>
        <a:noFill/>
        <a:ln>
          <a:noFill/>
        </a:ln>
        <a:effectLst/>
      </c:spPr>
    </c:title>
    <c:autoTitleDeleted val="0"/>
    <c:plotArea>
      <c:layout/>
      <c:scatterChart>
        <c:scatterStyle val="lineMarker"/>
        <c:varyColors val="0"/>
        <c:ser>
          <c:idx val="0"/>
          <c:order val="0"/>
          <c:tx>
            <c:v>All Data</c:v>
          </c:tx>
          <c:spPr>
            <a:ln w="19050">
              <a:noFill/>
            </a:ln>
          </c:spPr>
          <c:marker>
            <c:symbol val="circle"/>
            <c:size val="7"/>
            <c:spPr>
              <a:solidFill>
                <a:srgbClr val="FF0000"/>
              </a:solidFill>
              <a:ln w="12700">
                <a:solidFill>
                  <a:schemeClr val="tx1"/>
                </a:solidFill>
              </a:ln>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Plot_Data_Element_Size!$I$2:$I$147</c:f>
              <c:numCache>
                <c:formatCode>General</c:formatCode>
                <c:ptCount val="146"/>
                <c:pt idx="0">
                  <c:v>6.9999999999999991</c:v>
                </c:pt>
                <c:pt idx="1">
                  <c:v>#N/A</c:v>
                </c:pt>
                <c:pt idx="2">
                  <c:v>#N/A</c:v>
                </c:pt>
                <c:pt idx="3">
                  <c:v>6.9999999999999991</c:v>
                </c:pt>
                <c:pt idx="4">
                  <c:v>1.2098734437948457</c:v>
                </c:pt>
                <c:pt idx="5">
                  <c:v>8.4885144386937768</c:v>
                </c:pt>
                <c:pt idx="6">
                  <c:v>7.9585527305101369</c:v>
                </c:pt>
                <c:pt idx="7">
                  <c:v>18.382096332494079</c:v>
                </c:pt>
                <c:pt idx="8">
                  <c:v>4.4194173824159222</c:v>
                </c:pt>
                <c:pt idx="9">
                  <c:v>1.5625</c:v>
                </c:pt>
                <c:pt idx="10">
                  <c:v>#N/A</c:v>
                </c:pt>
                <c:pt idx="11">
                  <c:v>5</c:v>
                </c:pt>
                <c:pt idx="12">
                  <c:v>#N/A</c:v>
                </c:pt>
                <c:pt idx="13">
                  <c:v>#N/A</c:v>
                </c:pt>
                <c:pt idx="14">
                  <c:v>1.8</c:v>
                </c:pt>
                <c:pt idx="15">
                  <c:v>1.8</c:v>
                </c:pt>
                <c:pt idx="16">
                  <c:v>2.9166666666666665</c:v>
                </c:pt>
                <c:pt idx="17">
                  <c:v>1.0428326807307104</c:v>
                </c:pt>
                <c:pt idx="18">
                  <c:v>2.712240771023104</c:v>
                </c:pt>
                <c:pt idx="19">
                  <c:v>2.6061825530841078</c:v>
                </c:pt>
                <c:pt idx="20">
                  <c:v>#N/A</c:v>
                </c:pt>
                <c:pt idx="21">
                  <c:v>#N/A</c:v>
                </c:pt>
                <c:pt idx="22">
                  <c:v>#N/A</c:v>
                </c:pt>
                <c:pt idx="23">
                  <c:v>#N/A</c:v>
                </c:pt>
                <c:pt idx="24">
                  <c:v>#N/A</c:v>
                </c:pt>
                <c:pt idx="25">
                  <c:v>#N/A</c:v>
                </c:pt>
                <c:pt idx="26">
                  <c:v>#N/A</c:v>
                </c:pt>
                <c:pt idx="27">
                  <c:v>#N/A</c:v>
                </c:pt>
                <c:pt idx="28">
                  <c:v>#N/A</c:v>
                </c:pt>
                <c:pt idx="29">
                  <c:v>3.6276714294434114</c:v>
                </c:pt>
                <c:pt idx="30">
                  <c:v>2.0718600741041047</c:v>
                </c:pt>
                <c:pt idx="31">
                  <c:v>2.0718600741041047</c:v>
                </c:pt>
                <c:pt idx="32">
                  <c:v>2.2782453304493542</c:v>
                </c:pt>
                <c:pt idx="33">
                  <c:v>5.3665631459994954</c:v>
                </c:pt>
                <c:pt idx="34">
                  <c:v>2</c:v>
                </c:pt>
                <c:pt idx="35">
                  <c:v>2</c:v>
                </c:pt>
                <c:pt idx="36">
                  <c:v>#N/A</c:v>
                </c:pt>
                <c:pt idx="37">
                  <c:v>#N/A</c:v>
                </c:pt>
                <c:pt idx="38">
                  <c:v>#N/A</c:v>
                </c:pt>
                <c:pt idx="39">
                  <c:v>#N/A</c:v>
                </c:pt>
                <c:pt idx="40">
                  <c:v>1.948557158514987</c:v>
                </c:pt>
                <c:pt idx="41">
                  <c:v>#N/A</c:v>
                </c:pt>
                <c:pt idx="42">
                  <c:v>#N/A</c:v>
                </c:pt>
                <c:pt idx="43">
                  <c:v>#N/A</c:v>
                </c:pt>
                <c:pt idx="44">
                  <c:v>3.876763711525375</c:v>
                </c:pt>
                <c:pt idx="45">
                  <c:v>#N/A</c:v>
                </c:pt>
                <c:pt idx="46">
                  <c:v>#N/A</c:v>
                </c:pt>
                <c:pt idx="47">
                  <c:v>#N/A</c:v>
                </c:pt>
                <c:pt idx="48">
                  <c:v>#N/A</c:v>
                </c:pt>
                <c:pt idx="49">
                  <c:v>#N/A</c:v>
                </c:pt>
                <c:pt idx="50">
                  <c:v>#N/A</c:v>
                </c:pt>
                <c:pt idx="51">
                  <c:v>2.2590097388014954</c:v>
                </c:pt>
                <c:pt idx="52">
                  <c:v>#N/A</c:v>
                </c:pt>
                <c:pt idx="53">
                  <c:v>#N/A</c:v>
                </c:pt>
                <c:pt idx="54">
                  <c:v>#N/A</c:v>
                </c:pt>
                <c:pt idx="55">
                  <c:v>#N/A</c:v>
                </c:pt>
                <c:pt idx="56">
                  <c:v>#N/A</c:v>
                </c:pt>
                <c:pt idx="57">
                  <c:v>#N/A</c:v>
                </c:pt>
                <c:pt idx="58">
                  <c:v>7.245688373094719</c:v>
                </c:pt>
                <c:pt idx="59">
                  <c:v>5</c:v>
                </c:pt>
                <c:pt idx="60">
                  <c:v>5.5593389894842709</c:v>
                </c:pt>
                <c:pt idx="61">
                  <c:v>#N/A</c:v>
                </c:pt>
                <c:pt idx="62">
                  <c:v>#N/A</c:v>
                </c:pt>
                <c:pt idx="63">
                  <c:v>#N/A</c:v>
                </c:pt>
                <c:pt idx="64">
                  <c:v>#N/A</c:v>
                </c:pt>
                <c:pt idx="65">
                  <c:v>#N/A</c:v>
                </c:pt>
                <c:pt idx="66">
                  <c:v>#N/A</c:v>
                </c:pt>
                <c:pt idx="67">
                  <c:v>#N/A</c:v>
                </c:pt>
                <c:pt idx="68">
                  <c:v>#N/A</c:v>
                </c:pt>
                <c:pt idx="69">
                  <c:v>1.23125</c:v>
                </c:pt>
                <c:pt idx="70">
                  <c:v>1.0687499999999999</c:v>
                </c:pt>
                <c:pt idx="71">
                  <c:v>5</c:v>
                </c:pt>
                <c:pt idx="72">
                  <c:v>#N/A</c:v>
                </c:pt>
                <c:pt idx="73">
                  <c:v>#N/A</c:v>
                </c:pt>
                <c:pt idx="74">
                  <c:v>1.1345945035562264</c:v>
                </c:pt>
                <c:pt idx="75">
                  <c:v>#N/A</c:v>
                </c:pt>
                <c:pt idx="76">
                  <c:v>0.96798356778408168</c:v>
                </c:pt>
                <c:pt idx="77">
                  <c:v>11.379463410020703</c:v>
                </c:pt>
                <c:pt idx="78">
                  <c:v>#N/A</c:v>
                </c:pt>
                <c:pt idx="79">
                  <c:v>7.6174142594452618</c:v>
                </c:pt>
                <c:pt idx="80">
                  <c:v>5.3385391260156556</c:v>
                </c:pt>
                <c:pt idx="81">
                  <c:v>5.3385391260156556</c:v>
                </c:pt>
                <c:pt idx="82">
                  <c:v>5.3385391260156556</c:v>
                </c:pt>
                <c:pt idx="83">
                  <c:v>0.76892782496148493</c:v>
                </c:pt>
                <c:pt idx="84">
                  <c:v>#N/A</c:v>
                </c:pt>
                <c:pt idx="85">
                  <c:v>5.3033008588991066</c:v>
                </c:pt>
                <c:pt idx="86">
                  <c:v>5.3033008588991066</c:v>
                </c:pt>
                <c:pt idx="87">
                  <c:v>6.4</c:v>
                </c:pt>
                <c:pt idx="88">
                  <c:v>#N/A</c:v>
                </c:pt>
                <c:pt idx="89">
                  <c:v>#N/A</c:v>
                </c:pt>
                <c:pt idx="90">
                  <c:v>#N/A</c:v>
                </c:pt>
                <c:pt idx="91">
                  <c:v>#N/A</c:v>
                </c:pt>
                <c:pt idx="92">
                  <c:v>#N/A</c:v>
                </c:pt>
                <c:pt idx="93">
                  <c:v>#N/A</c:v>
                </c:pt>
                <c:pt idx="94">
                  <c:v>#N/A</c:v>
                </c:pt>
                <c:pt idx="95">
                  <c:v>#N/A</c:v>
                </c:pt>
                <c:pt idx="96">
                  <c:v>#N/A</c:v>
                </c:pt>
                <c:pt idx="97">
                  <c:v>0.5714285714285714</c:v>
                </c:pt>
                <c:pt idx="98">
                  <c:v>1.875</c:v>
                </c:pt>
                <c:pt idx="99">
                  <c:v>1.875</c:v>
                </c:pt>
                <c:pt idx="100">
                  <c:v>#N/A</c:v>
                </c:pt>
                <c:pt idx="101">
                  <c:v>#N/A</c:v>
                </c:pt>
                <c:pt idx="102">
                  <c:v>11.541365820387117</c:v>
                </c:pt>
                <c:pt idx="103">
                  <c:v>4.4280356818797202</c:v>
                </c:pt>
                <c:pt idx="104">
                  <c:v>4.4280356818797202</c:v>
                </c:pt>
                <c:pt idx="105">
                  <c:v>#N/A</c:v>
                </c:pt>
                <c:pt idx="106">
                  <c:v>#N/A</c:v>
                </c:pt>
                <c:pt idx="107">
                  <c:v>#N/A</c:v>
                </c:pt>
                <c:pt idx="108">
                  <c:v>2.15</c:v>
                </c:pt>
                <c:pt idx="109">
                  <c:v>2.15</c:v>
                </c:pt>
                <c:pt idx="110">
                  <c:v>2.65625</c:v>
                </c:pt>
                <c:pt idx="111">
                  <c:v>1.0416666666666667</c:v>
                </c:pt>
                <c:pt idx="112">
                  <c:v>1.0416666666666667</c:v>
                </c:pt>
                <c:pt idx="113">
                  <c:v>#N/A</c:v>
                </c:pt>
                <c:pt idx="114">
                  <c:v>#N/A</c:v>
                </c:pt>
                <c:pt idx="115">
                  <c:v>#N/A</c:v>
                </c:pt>
                <c:pt idx="116">
                  <c:v>#N/A</c:v>
                </c:pt>
                <c:pt idx="117">
                  <c:v>#N/A</c:v>
                </c:pt>
                <c:pt idx="118">
                  <c:v>#N/A</c:v>
                </c:pt>
                <c:pt idx="119">
                  <c:v>#N/A</c:v>
                </c:pt>
                <c:pt idx="120">
                  <c:v>#N/A</c:v>
                </c:pt>
                <c:pt idx="121">
                  <c:v>#N/A</c:v>
                </c:pt>
                <c:pt idx="122">
                  <c:v>#N/A</c:v>
                </c:pt>
                <c:pt idx="123">
                  <c:v>0.81009258730098255</c:v>
                </c:pt>
                <c:pt idx="124">
                  <c:v>9.2978492136622641</c:v>
                </c:pt>
                <c:pt idx="125">
                  <c:v>9.2978492136622641</c:v>
                </c:pt>
                <c:pt idx="126">
                  <c:v>#N/A</c:v>
                </c:pt>
                <c:pt idx="127">
                  <c:v>2.4248711305964283</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7.3710582686612911</c:v>
                </c:pt>
                <c:pt idx="141">
                  <c:v>3.4234485537247381</c:v>
                </c:pt>
                <c:pt idx="142">
                  <c:v>#N/A</c:v>
                </c:pt>
                <c:pt idx="143">
                  <c:v>#N/A</c:v>
                </c:pt>
                <c:pt idx="144">
                  <c:v>1.0863499666313798</c:v>
                </c:pt>
                <c:pt idx="145">
                  <c:v>#N/A</c:v>
                </c:pt>
              </c:numCache>
            </c:numRef>
          </c:yVal>
          <c:smooth val="0"/>
          <c:extLst>
            <c:ext xmlns:c16="http://schemas.microsoft.com/office/drawing/2014/chart" uri="{C3380CC4-5D6E-409C-BE32-E72D297353CC}">
              <c16:uniqueId val="{00000000-82EC-4EAA-BD6C-BC42157065B9}"/>
            </c:ext>
          </c:extLst>
        </c:ser>
        <c:ser>
          <c:idx val="1"/>
          <c:order val="1"/>
          <c:tx>
            <c:v>Wavelength/2</c:v>
          </c:tx>
          <c:spPr>
            <a:ln w="19050" cap="rnd">
              <a:solidFill>
                <a:srgbClr val="0915FF"/>
              </a:solidFill>
              <a:round/>
            </a:ln>
            <a:effectLst/>
          </c:spPr>
          <c:marker>
            <c:symbol val="none"/>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Plot_Data_Element_Size!$B$2:$B$147</c:f>
              <c:numCache>
                <c:formatCode>General</c:formatCode>
                <c:ptCount val="146"/>
                <c:pt idx="0">
                  <c:v>2.5</c:v>
                </c:pt>
                <c:pt idx="1">
                  <c:v>2.5</c:v>
                </c:pt>
                <c:pt idx="2">
                  <c:v>2.5</c:v>
                </c:pt>
                <c:pt idx="3">
                  <c:v>2.5</c:v>
                </c:pt>
                <c:pt idx="4">
                  <c:v>1.3636363636363638</c:v>
                </c:pt>
                <c:pt idx="5">
                  <c:v>6.1475409836065573</c:v>
                </c:pt>
                <c:pt idx="6">
                  <c:v>4.225352112676056</c:v>
                </c:pt>
                <c:pt idx="7">
                  <c:v>14.85148514851485</c:v>
                </c:pt>
                <c:pt idx="8">
                  <c:v>2.5</c:v>
                </c:pt>
                <c:pt idx="9">
                  <c:v>1.6304347826086956</c:v>
                </c:pt>
                <c:pt idx="10">
                  <c:v>1.5463917525773194</c:v>
                </c:pt>
                <c:pt idx="11">
                  <c:v>4.6875</c:v>
                </c:pt>
                <c:pt idx="12">
                  <c:v>0.4437869822485207</c:v>
                </c:pt>
                <c:pt idx="13">
                  <c:v>2.5</c:v>
                </c:pt>
                <c:pt idx="14">
                  <c:v>2.1428571428571428</c:v>
                </c:pt>
                <c:pt idx="15">
                  <c:v>1.7647058823529413</c:v>
                </c:pt>
                <c:pt idx="16">
                  <c:v>3.3333333333333335</c:v>
                </c:pt>
                <c:pt idx="17">
                  <c:v>0.38461538461538464</c:v>
                </c:pt>
                <c:pt idx="18">
                  <c:v>2.5</c:v>
                </c:pt>
                <c:pt idx="19">
                  <c:v>2.5</c:v>
                </c:pt>
                <c:pt idx="20">
                  <c:v>5.3571428571428568</c:v>
                </c:pt>
                <c:pt idx="21">
                  <c:v>0.51724137931034486</c:v>
                </c:pt>
                <c:pt idx="22">
                  <c:v>0.51724137931034486</c:v>
                </c:pt>
                <c:pt idx="23">
                  <c:v>0.46875</c:v>
                </c:pt>
                <c:pt idx="24">
                  <c:v>2.1428571428571428</c:v>
                </c:pt>
                <c:pt idx="25">
                  <c:v>1.4285714285714286</c:v>
                </c:pt>
                <c:pt idx="26">
                  <c:v>6.5217391304347823</c:v>
                </c:pt>
                <c:pt idx="27">
                  <c:v>5</c:v>
                </c:pt>
                <c:pt idx="28">
                  <c:v>5.3571428571428568</c:v>
                </c:pt>
                <c:pt idx="29">
                  <c:v>2.5</c:v>
                </c:pt>
                <c:pt idx="30">
                  <c:v>1.875</c:v>
                </c:pt>
                <c:pt idx="31">
                  <c:v>1.6666666666666667</c:v>
                </c:pt>
                <c:pt idx="32">
                  <c:v>2.5</c:v>
                </c:pt>
                <c:pt idx="33">
                  <c:v>5.3571428571428568</c:v>
                </c:pt>
                <c:pt idx="34">
                  <c:v>1.5957446808510638</c:v>
                </c:pt>
                <c:pt idx="35">
                  <c:v>1.5957446808510638</c:v>
                </c:pt>
                <c:pt idx="36">
                  <c:v>3.5714285714285712</c:v>
                </c:pt>
                <c:pt idx="37">
                  <c:v>1.0344827586206897</c:v>
                </c:pt>
                <c:pt idx="38">
                  <c:v>5.5555555555555554</c:v>
                </c:pt>
                <c:pt idx="39">
                  <c:v>3.6585365853658538</c:v>
                </c:pt>
                <c:pt idx="40">
                  <c:v>2.054794520547945</c:v>
                </c:pt>
                <c:pt idx="41">
                  <c:v>0.56458897922312556</c:v>
                </c:pt>
                <c:pt idx="42">
                  <c:v>6.1224489795918364</c:v>
                </c:pt>
                <c:pt idx="43">
                  <c:v>3.4883720930232558</c:v>
                </c:pt>
                <c:pt idx="44">
                  <c:v>3.8461538461538463</c:v>
                </c:pt>
                <c:pt idx="45">
                  <c:v>1.6666666666666667</c:v>
                </c:pt>
                <c:pt idx="46">
                  <c:v>0.35714285714285715</c:v>
                </c:pt>
                <c:pt idx="47">
                  <c:v>0.25566729163115731</c:v>
                </c:pt>
                <c:pt idx="48">
                  <c:v>0.36057692307692307</c:v>
                </c:pt>
                <c:pt idx="49">
                  <c:v>0.30612244897959184</c:v>
                </c:pt>
                <c:pt idx="50">
                  <c:v>0.22388059701492538</c:v>
                </c:pt>
                <c:pt idx="51">
                  <c:v>2</c:v>
                </c:pt>
                <c:pt idx="52">
                  <c:v>1.1111111111111112</c:v>
                </c:pt>
                <c:pt idx="53">
                  <c:v>1</c:v>
                </c:pt>
                <c:pt idx="54">
                  <c:v>0.3</c:v>
                </c:pt>
                <c:pt idx="55">
                  <c:v>0.38461538461538464</c:v>
                </c:pt>
                <c:pt idx="56">
                  <c:v>1.0714285714285714</c:v>
                </c:pt>
                <c:pt idx="57">
                  <c:v>1</c:v>
                </c:pt>
                <c:pt idx="58">
                  <c:v>5.3571428571428568</c:v>
                </c:pt>
                <c:pt idx="59">
                  <c:v>5.3571428571428568</c:v>
                </c:pt>
                <c:pt idx="60">
                  <c:v>5.0847457627118642</c:v>
                </c:pt>
                <c:pt idx="61">
                  <c:v>0.35714285714285715</c:v>
                </c:pt>
                <c:pt idx="62">
                  <c:v>0.35714285714285715</c:v>
                </c:pt>
                <c:pt idx="63">
                  <c:v>0.61224489795918369</c:v>
                </c:pt>
                <c:pt idx="64">
                  <c:v>0.5859375</c:v>
                </c:pt>
                <c:pt idx="65">
                  <c:v>0.33333333333333331</c:v>
                </c:pt>
                <c:pt idx="66">
                  <c:v>0.24793388429752067</c:v>
                </c:pt>
                <c:pt idx="67">
                  <c:v>0.3968253968253968</c:v>
                </c:pt>
                <c:pt idx="68">
                  <c:v>2.5</c:v>
                </c:pt>
                <c:pt idx="69">
                  <c:v>12.820512820512819</c:v>
                </c:pt>
                <c:pt idx="70">
                  <c:v>10.714285714285714</c:v>
                </c:pt>
                <c:pt idx="71">
                  <c:v>5.0847457627118642</c:v>
                </c:pt>
                <c:pt idx="72">
                  <c:v>7.8947368421052637</c:v>
                </c:pt>
                <c:pt idx="73">
                  <c:v>5.5555555555555554</c:v>
                </c:pt>
                <c:pt idx="74">
                  <c:v>12.820512820512819</c:v>
                </c:pt>
                <c:pt idx="75">
                  <c:v>1.0714285714285714</c:v>
                </c:pt>
                <c:pt idx="76">
                  <c:v>10.714285714285714</c:v>
                </c:pt>
                <c:pt idx="77">
                  <c:v>12.820512820512819</c:v>
                </c:pt>
                <c:pt idx="78">
                  <c:v>0.33333333333333331</c:v>
                </c:pt>
                <c:pt idx="79">
                  <c:v>5</c:v>
                </c:pt>
                <c:pt idx="80">
                  <c:v>8.3333333333333339</c:v>
                </c:pt>
                <c:pt idx="81">
                  <c:v>5</c:v>
                </c:pt>
                <c:pt idx="82">
                  <c:v>3</c:v>
                </c:pt>
                <c:pt idx="83">
                  <c:v>0.4838709677419355</c:v>
                </c:pt>
                <c:pt idx="84">
                  <c:v>5.3571428571428568</c:v>
                </c:pt>
                <c:pt idx="85">
                  <c:v>10</c:v>
                </c:pt>
                <c:pt idx="86">
                  <c:v>2.6315789473684208</c:v>
                </c:pt>
                <c:pt idx="87">
                  <c:v>5.3571428571428568</c:v>
                </c:pt>
                <c:pt idx="88">
                  <c:v>1.0714285714285714</c:v>
                </c:pt>
                <c:pt idx="89">
                  <c:v>5.3571428571428568</c:v>
                </c:pt>
                <c:pt idx="90">
                  <c:v>3.8461538461538463</c:v>
                </c:pt>
                <c:pt idx="91">
                  <c:v>5.7692307692307692</c:v>
                </c:pt>
                <c:pt idx="92">
                  <c:v>5.1724137931034484</c:v>
                </c:pt>
                <c:pt idx="93">
                  <c:v>0.5</c:v>
                </c:pt>
                <c:pt idx="94">
                  <c:v>0.34802784222737815</c:v>
                </c:pt>
                <c:pt idx="95">
                  <c:v>1.0714285714285714</c:v>
                </c:pt>
                <c:pt idx="96">
                  <c:v>1.1029411764705883</c:v>
                </c:pt>
                <c:pt idx="97">
                  <c:v>0.57692307692307698</c:v>
                </c:pt>
                <c:pt idx="98">
                  <c:v>1.0714285714285714</c:v>
                </c:pt>
                <c:pt idx="99">
                  <c:v>1.0714285714285714</c:v>
                </c:pt>
                <c:pt idx="100">
                  <c:v>5.5555555555555554</c:v>
                </c:pt>
                <c:pt idx="101">
                  <c:v>0.21613832853025935</c:v>
                </c:pt>
                <c:pt idx="102">
                  <c:v>10.526315789473683</c:v>
                </c:pt>
                <c:pt idx="103">
                  <c:v>5.3571428571428568</c:v>
                </c:pt>
                <c:pt idx="104">
                  <c:v>3.8461538461538463</c:v>
                </c:pt>
                <c:pt idx="105">
                  <c:v>5.1724137931034484</c:v>
                </c:pt>
                <c:pt idx="106">
                  <c:v>0.31779661016949151</c:v>
                </c:pt>
                <c:pt idx="107">
                  <c:v>0.36057692307692307</c:v>
                </c:pt>
                <c:pt idx="108">
                  <c:v>1.6129032258064515</c:v>
                </c:pt>
                <c:pt idx="109">
                  <c:v>1.6129032258064515</c:v>
                </c:pt>
                <c:pt idx="110">
                  <c:v>5.5555555555555554</c:v>
                </c:pt>
                <c:pt idx="111">
                  <c:v>1</c:v>
                </c:pt>
                <c:pt idx="112">
                  <c:v>1</c:v>
                </c:pt>
                <c:pt idx="113">
                  <c:v>5.3571428571428568</c:v>
                </c:pt>
                <c:pt idx="114">
                  <c:v>8.3333333333333339</c:v>
                </c:pt>
                <c:pt idx="115">
                  <c:v>5.2264808362369344</c:v>
                </c:pt>
                <c:pt idx="116">
                  <c:v>5.3571428571428568</c:v>
                </c:pt>
                <c:pt idx="117">
                  <c:v>3.8461538461538463</c:v>
                </c:pt>
                <c:pt idx="118">
                  <c:v>3.1779661016949157</c:v>
                </c:pt>
                <c:pt idx="119">
                  <c:v>2.4958402662229617</c:v>
                </c:pt>
                <c:pt idx="120">
                  <c:v>5.3571428571428568</c:v>
                </c:pt>
                <c:pt idx="121">
                  <c:v>3.75</c:v>
                </c:pt>
                <c:pt idx="122">
                  <c:v>5.3571428571428568</c:v>
                </c:pt>
                <c:pt idx="123">
                  <c:v>7.5</c:v>
                </c:pt>
                <c:pt idx="124">
                  <c:v>30</c:v>
                </c:pt>
                <c:pt idx="125">
                  <c:v>4.545454545454545</c:v>
                </c:pt>
                <c:pt idx="126">
                  <c:v>3.8461538461538463</c:v>
                </c:pt>
                <c:pt idx="127">
                  <c:v>1.0638297872340425</c:v>
                </c:pt>
                <c:pt idx="128">
                  <c:v>5.3571428571428568</c:v>
                </c:pt>
                <c:pt idx="129">
                  <c:v>1.948051948051948</c:v>
                </c:pt>
                <c:pt idx="130">
                  <c:v>0.6097560975609756</c:v>
                </c:pt>
                <c:pt idx="131">
                  <c:v>0.22222222222222224</c:v>
                </c:pt>
                <c:pt idx="132">
                  <c:v>1.0714285714285714</c:v>
                </c:pt>
                <c:pt idx="133">
                  <c:v>5.3571428571428568</c:v>
                </c:pt>
                <c:pt idx="134">
                  <c:v>0.24711696869851732</c:v>
                </c:pt>
                <c:pt idx="135">
                  <c:v>5.7121096725057123</c:v>
                </c:pt>
                <c:pt idx="136">
                  <c:v>1.6666666666666667</c:v>
                </c:pt>
                <c:pt idx="137">
                  <c:v>1.6666666666666667</c:v>
                </c:pt>
                <c:pt idx="138">
                  <c:v>0.57692307692307698</c:v>
                </c:pt>
                <c:pt idx="139">
                  <c:v>4.2857142857142856</c:v>
                </c:pt>
                <c:pt idx="140">
                  <c:v>25.862068965517242</c:v>
                </c:pt>
                <c:pt idx="141">
                  <c:v>3.8461538461538463</c:v>
                </c:pt>
                <c:pt idx="142">
                  <c:v>5.3571428571428568</c:v>
                </c:pt>
                <c:pt idx="143">
                  <c:v>5</c:v>
                </c:pt>
                <c:pt idx="144">
                  <c:v>1.0714285714285714</c:v>
                </c:pt>
                <c:pt idx="145">
                  <c:v>5.2264808362369344</c:v>
                </c:pt>
              </c:numCache>
            </c:numRef>
          </c:yVal>
          <c:smooth val="0"/>
          <c:extLst>
            <c:ext xmlns:c16="http://schemas.microsoft.com/office/drawing/2014/chart" uri="{C3380CC4-5D6E-409C-BE32-E72D297353CC}">
              <c16:uniqueId val="{00000001-82EC-4EAA-BD6C-BC42157065B9}"/>
            </c:ext>
          </c:extLst>
        </c:ser>
        <c:dLbls>
          <c:showLegendKey val="0"/>
          <c:showVal val="0"/>
          <c:showCatName val="0"/>
          <c:showSerName val="0"/>
          <c:showPercent val="0"/>
          <c:showBubbleSize val="0"/>
        </c:dLbls>
        <c:axId val="422369567"/>
        <c:axId val="923243183"/>
      </c:scatterChart>
      <c:valAx>
        <c:axId val="422369567"/>
        <c:scaling>
          <c:logBase val="10"/>
          <c:orientation val="minMax"/>
          <c:min val="5"/>
        </c:scaling>
        <c:delete val="0"/>
        <c:axPos val="b"/>
        <c:majorGridlines>
          <c:spPr>
            <a:ln w="15875" cap="flat" cmpd="sng" algn="ctr">
              <a:solidFill>
                <a:schemeClr val="bg1">
                  <a:lumMod val="75000"/>
                </a:schemeClr>
              </a:solidFill>
              <a:prstDash val="sysDash"/>
              <a:round/>
            </a:ln>
            <a:effectLst/>
          </c:spPr>
        </c:majorGridlines>
        <c:minorGridlines>
          <c:spPr>
            <a:ln w="9525" cap="flat" cmpd="sng" algn="ctr">
              <a:solidFill>
                <a:schemeClr val="tx1">
                  <a:lumMod val="5000"/>
                  <a:lumOff val="95000"/>
                </a:schemeClr>
              </a:solidFill>
              <a:round/>
            </a:ln>
            <a:effectLst/>
          </c:spPr>
        </c:minorGridlines>
        <c:title>
          <c:tx>
            <c:rich>
              <a:bodyPr rot="0" vert="horz"/>
              <a:lstStyle/>
              <a:p>
                <a:pPr>
                  <a:defRPr/>
                </a:pPr>
                <a:r>
                  <a:rPr lang="en-US"/>
                  <a:t>Frequency (GHz)</a:t>
                </a:r>
              </a:p>
            </c:rich>
          </c:tx>
          <c:overlay val="0"/>
          <c:spPr>
            <a:noFill/>
            <a:ln>
              <a:noFill/>
            </a:ln>
            <a:effectLst/>
          </c:spPr>
        </c:title>
        <c:numFmt formatCode="General" sourceLinked="1"/>
        <c:majorTickMark val="none"/>
        <c:minorTickMark val="none"/>
        <c:tickLblPos val="low"/>
        <c:spPr>
          <a:noFill/>
          <a:ln w="9525" cap="flat" cmpd="sng" algn="ctr">
            <a:noFill/>
            <a:round/>
          </a:ln>
          <a:effectLst/>
        </c:spPr>
        <c:txPr>
          <a:bodyPr rot="-60000000" vert="horz"/>
          <a:lstStyle/>
          <a:p>
            <a:pPr>
              <a:defRPr/>
            </a:pPr>
            <a:endParaRPr lang="en-CH"/>
          </a:p>
        </c:txPr>
        <c:crossAx val="923243183"/>
        <c:crosses val="autoZero"/>
        <c:crossBetween val="midCat"/>
      </c:valAx>
      <c:valAx>
        <c:axId val="923243183"/>
        <c:scaling>
          <c:logBase val="10"/>
          <c:orientation val="minMax"/>
        </c:scaling>
        <c:delete val="0"/>
        <c:axPos val="l"/>
        <c:majorGridlines>
          <c:spPr>
            <a:ln w="15875" cap="flat" cmpd="sng" algn="ctr">
              <a:solidFill>
                <a:schemeClr val="bg1">
                  <a:lumMod val="75000"/>
                </a:schemeClr>
              </a:solidFill>
              <a:prstDash val="sysDash"/>
              <a:round/>
            </a:ln>
            <a:effectLst/>
          </c:spPr>
        </c:majorGridlines>
        <c:minorGridlines>
          <c:spPr>
            <a:ln w="9525" cap="flat" cmpd="sng" algn="ctr">
              <a:solidFill>
                <a:schemeClr val="tx1">
                  <a:lumMod val="5000"/>
                  <a:lumOff val="95000"/>
                </a:schemeClr>
              </a:solidFill>
              <a:round/>
            </a:ln>
            <a:effectLst/>
          </c:spPr>
        </c:minorGridlines>
        <c:title>
          <c:tx>
            <c:rich>
              <a:bodyPr rot="-5400000" vert="horz"/>
              <a:lstStyle/>
              <a:p>
                <a:pPr>
                  <a:defRPr/>
                </a:pPr>
                <a:r>
                  <a:rPr lang="el-GR"/>
                  <a:t>λ</a:t>
                </a:r>
                <a:r>
                  <a:rPr lang="en-US"/>
                  <a:t>/2 and √area (mm)</a:t>
                </a:r>
              </a:p>
            </c:rich>
          </c:tx>
          <c:overlay val="0"/>
          <c:spPr>
            <a:noFill/>
            <a:ln>
              <a:noFill/>
            </a:ln>
            <a:effectLst/>
          </c:spPr>
        </c:title>
        <c:numFmt formatCode="General" sourceLinked="1"/>
        <c:majorTickMark val="none"/>
        <c:minorTickMark val="none"/>
        <c:tickLblPos val="nextTo"/>
        <c:spPr>
          <a:noFill/>
          <a:ln w="9525" cap="flat" cmpd="sng" algn="ctr">
            <a:noFill/>
            <a:round/>
          </a:ln>
          <a:effectLst/>
        </c:spPr>
        <c:txPr>
          <a:bodyPr rot="-60000000" vert="horz"/>
          <a:lstStyle/>
          <a:p>
            <a:pPr>
              <a:defRPr/>
            </a:pPr>
            <a:endParaRPr lang="en-CH"/>
          </a:p>
        </c:txPr>
        <c:crossAx val="422369567"/>
        <c:crosses val="autoZero"/>
        <c:crossBetween val="midCat"/>
      </c:valAx>
      <c:spPr>
        <a:noFill/>
        <a:ln w="25400">
          <a:solidFill>
            <a:schemeClr val="tx1"/>
          </a:solidFill>
        </a:ln>
        <a:effectLst/>
      </c:spPr>
    </c:plotArea>
    <c:plotVisOnly val="1"/>
    <c:dispBlanksAs val="span"/>
    <c:showDLblsOverMax val="0"/>
    <c:extLst/>
  </c:chart>
  <c:spPr>
    <a:ln>
      <a:noFill/>
    </a:ln>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r>
              <a:rPr lang="en-US"/>
              <a:t>Array Element Area - Different Circuits/System Types</a:t>
            </a:r>
          </a:p>
        </c:rich>
      </c:tx>
      <c:layout>
        <c:manualLayout>
          <c:xMode val="edge"/>
          <c:yMode val="edge"/>
          <c:x val="0.19091332315694762"/>
          <c:y val="2.3470832523828325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endParaRPr lang="en-CH"/>
        </a:p>
      </c:txPr>
    </c:title>
    <c:autoTitleDeleted val="0"/>
    <c:plotArea>
      <c:layout/>
      <c:scatterChart>
        <c:scatterStyle val="lineMarker"/>
        <c:varyColors val="0"/>
        <c:ser>
          <c:idx val="1"/>
          <c:order val="0"/>
          <c:tx>
            <c:v>Wavelength/2</c:v>
          </c:tx>
          <c:spPr>
            <a:ln w="19050" cap="rnd">
              <a:solidFill>
                <a:srgbClr val="0915FF"/>
              </a:solidFill>
              <a:round/>
            </a:ln>
            <a:effectLst/>
          </c:spPr>
          <c:marker>
            <c:symbol val="none"/>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Plot_Data_Element_Size!$B$2:$B$147</c:f>
              <c:numCache>
                <c:formatCode>General</c:formatCode>
                <c:ptCount val="146"/>
                <c:pt idx="0">
                  <c:v>2.5</c:v>
                </c:pt>
                <c:pt idx="1">
                  <c:v>2.5</c:v>
                </c:pt>
                <c:pt idx="2">
                  <c:v>2.5</c:v>
                </c:pt>
                <c:pt idx="3">
                  <c:v>2.5</c:v>
                </c:pt>
                <c:pt idx="4">
                  <c:v>1.3636363636363638</c:v>
                </c:pt>
                <c:pt idx="5">
                  <c:v>6.1475409836065573</c:v>
                </c:pt>
                <c:pt idx="6">
                  <c:v>4.225352112676056</c:v>
                </c:pt>
                <c:pt idx="7">
                  <c:v>14.85148514851485</c:v>
                </c:pt>
                <c:pt idx="8">
                  <c:v>2.5</c:v>
                </c:pt>
                <c:pt idx="9">
                  <c:v>1.6304347826086956</c:v>
                </c:pt>
                <c:pt idx="10">
                  <c:v>1.5463917525773194</c:v>
                </c:pt>
                <c:pt idx="11">
                  <c:v>4.6875</c:v>
                </c:pt>
                <c:pt idx="12">
                  <c:v>0.4437869822485207</c:v>
                </c:pt>
                <c:pt idx="13">
                  <c:v>2.5</c:v>
                </c:pt>
                <c:pt idx="14">
                  <c:v>2.1428571428571428</c:v>
                </c:pt>
                <c:pt idx="15">
                  <c:v>1.7647058823529413</c:v>
                </c:pt>
                <c:pt idx="16">
                  <c:v>3.3333333333333335</c:v>
                </c:pt>
                <c:pt idx="17">
                  <c:v>0.38461538461538464</c:v>
                </c:pt>
                <c:pt idx="18">
                  <c:v>2.5</c:v>
                </c:pt>
                <c:pt idx="19">
                  <c:v>2.5</c:v>
                </c:pt>
                <c:pt idx="20">
                  <c:v>5.3571428571428568</c:v>
                </c:pt>
                <c:pt idx="21">
                  <c:v>0.51724137931034486</c:v>
                </c:pt>
                <c:pt idx="22">
                  <c:v>0.51724137931034486</c:v>
                </c:pt>
                <c:pt idx="23">
                  <c:v>0.46875</c:v>
                </c:pt>
                <c:pt idx="24">
                  <c:v>2.1428571428571428</c:v>
                </c:pt>
                <c:pt idx="25">
                  <c:v>1.4285714285714286</c:v>
                </c:pt>
                <c:pt idx="26">
                  <c:v>6.5217391304347823</c:v>
                </c:pt>
                <c:pt idx="27">
                  <c:v>5</c:v>
                </c:pt>
                <c:pt idx="28">
                  <c:v>5.3571428571428568</c:v>
                </c:pt>
                <c:pt idx="29">
                  <c:v>2.5</c:v>
                </c:pt>
                <c:pt idx="30">
                  <c:v>1.875</c:v>
                </c:pt>
                <c:pt idx="31">
                  <c:v>1.6666666666666667</c:v>
                </c:pt>
                <c:pt idx="32">
                  <c:v>2.5</c:v>
                </c:pt>
                <c:pt idx="33">
                  <c:v>5.3571428571428568</c:v>
                </c:pt>
                <c:pt idx="34">
                  <c:v>1.5957446808510638</c:v>
                </c:pt>
                <c:pt idx="35">
                  <c:v>1.5957446808510638</c:v>
                </c:pt>
                <c:pt idx="36">
                  <c:v>3.5714285714285712</c:v>
                </c:pt>
                <c:pt idx="37">
                  <c:v>1.0344827586206897</c:v>
                </c:pt>
                <c:pt idx="38">
                  <c:v>5.5555555555555554</c:v>
                </c:pt>
                <c:pt idx="39">
                  <c:v>3.6585365853658538</c:v>
                </c:pt>
                <c:pt idx="40">
                  <c:v>2.054794520547945</c:v>
                </c:pt>
                <c:pt idx="41">
                  <c:v>0.56458897922312556</c:v>
                </c:pt>
                <c:pt idx="42">
                  <c:v>6.1224489795918364</c:v>
                </c:pt>
                <c:pt idx="43">
                  <c:v>3.4883720930232558</c:v>
                </c:pt>
                <c:pt idx="44">
                  <c:v>3.8461538461538463</c:v>
                </c:pt>
                <c:pt idx="45">
                  <c:v>1.6666666666666667</c:v>
                </c:pt>
                <c:pt idx="46">
                  <c:v>0.35714285714285715</c:v>
                </c:pt>
                <c:pt idx="47">
                  <c:v>0.25566729163115731</c:v>
                </c:pt>
                <c:pt idx="48">
                  <c:v>0.36057692307692307</c:v>
                </c:pt>
                <c:pt idx="49">
                  <c:v>0.30612244897959184</c:v>
                </c:pt>
                <c:pt idx="50">
                  <c:v>0.22388059701492538</c:v>
                </c:pt>
                <c:pt idx="51">
                  <c:v>2</c:v>
                </c:pt>
                <c:pt idx="52">
                  <c:v>1.1111111111111112</c:v>
                </c:pt>
                <c:pt idx="53">
                  <c:v>1</c:v>
                </c:pt>
                <c:pt idx="54">
                  <c:v>0.3</c:v>
                </c:pt>
                <c:pt idx="55">
                  <c:v>0.38461538461538464</c:v>
                </c:pt>
                <c:pt idx="56">
                  <c:v>1.0714285714285714</c:v>
                </c:pt>
                <c:pt idx="57">
                  <c:v>1</c:v>
                </c:pt>
                <c:pt idx="58">
                  <c:v>5.3571428571428568</c:v>
                </c:pt>
                <c:pt idx="59">
                  <c:v>5.3571428571428568</c:v>
                </c:pt>
                <c:pt idx="60">
                  <c:v>5.0847457627118642</c:v>
                </c:pt>
                <c:pt idx="61">
                  <c:v>0.35714285714285715</c:v>
                </c:pt>
                <c:pt idx="62">
                  <c:v>0.35714285714285715</c:v>
                </c:pt>
                <c:pt idx="63">
                  <c:v>0.61224489795918369</c:v>
                </c:pt>
                <c:pt idx="64">
                  <c:v>0.5859375</c:v>
                </c:pt>
                <c:pt idx="65">
                  <c:v>0.33333333333333331</c:v>
                </c:pt>
                <c:pt idx="66">
                  <c:v>0.24793388429752067</c:v>
                </c:pt>
                <c:pt idx="67">
                  <c:v>0.3968253968253968</c:v>
                </c:pt>
                <c:pt idx="68">
                  <c:v>2.5</c:v>
                </c:pt>
                <c:pt idx="69">
                  <c:v>12.820512820512819</c:v>
                </c:pt>
                <c:pt idx="70">
                  <c:v>10.714285714285714</c:v>
                </c:pt>
                <c:pt idx="71">
                  <c:v>5.0847457627118642</c:v>
                </c:pt>
                <c:pt idx="72">
                  <c:v>7.8947368421052637</c:v>
                </c:pt>
                <c:pt idx="73">
                  <c:v>5.5555555555555554</c:v>
                </c:pt>
                <c:pt idx="74">
                  <c:v>12.820512820512819</c:v>
                </c:pt>
                <c:pt idx="75">
                  <c:v>1.0714285714285714</c:v>
                </c:pt>
                <c:pt idx="76">
                  <c:v>10.714285714285714</c:v>
                </c:pt>
                <c:pt idx="77">
                  <c:v>12.820512820512819</c:v>
                </c:pt>
                <c:pt idx="78">
                  <c:v>0.33333333333333331</c:v>
                </c:pt>
                <c:pt idx="79">
                  <c:v>5</c:v>
                </c:pt>
                <c:pt idx="80">
                  <c:v>8.3333333333333339</c:v>
                </c:pt>
                <c:pt idx="81">
                  <c:v>5</c:v>
                </c:pt>
                <c:pt idx="82">
                  <c:v>3</c:v>
                </c:pt>
                <c:pt idx="83">
                  <c:v>0.4838709677419355</c:v>
                </c:pt>
                <c:pt idx="84">
                  <c:v>5.3571428571428568</c:v>
                </c:pt>
                <c:pt idx="85">
                  <c:v>10</c:v>
                </c:pt>
                <c:pt idx="86">
                  <c:v>2.6315789473684208</c:v>
                </c:pt>
                <c:pt idx="87">
                  <c:v>5.3571428571428568</c:v>
                </c:pt>
                <c:pt idx="88">
                  <c:v>1.0714285714285714</c:v>
                </c:pt>
                <c:pt idx="89">
                  <c:v>5.3571428571428568</c:v>
                </c:pt>
                <c:pt idx="90">
                  <c:v>3.8461538461538463</c:v>
                </c:pt>
                <c:pt idx="91">
                  <c:v>5.7692307692307692</c:v>
                </c:pt>
                <c:pt idx="92">
                  <c:v>5.1724137931034484</c:v>
                </c:pt>
                <c:pt idx="93">
                  <c:v>0.5</c:v>
                </c:pt>
                <c:pt idx="94">
                  <c:v>0.34802784222737815</c:v>
                </c:pt>
                <c:pt idx="95">
                  <c:v>1.0714285714285714</c:v>
                </c:pt>
                <c:pt idx="96">
                  <c:v>1.1029411764705883</c:v>
                </c:pt>
                <c:pt idx="97">
                  <c:v>0.57692307692307698</c:v>
                </c:pt>
                <c:pt idx="98">
                  <c:v>1.0714285714285714</c:v>
                </c:pt>
                <c:pt idx="99">
                  <c:v>1.0714285714285714</c:v>
                </c:pt>
                <c:pt idx="100">
                  <c:v>5.5555555555555554</c:v>
                </c:pt>
                <c:pt idx="101">
                  <c:v>0.21613832853025935</c:v>
                </c:pt>
                <c:pt idx="102">
                  <c:v>10.526315789473683</c:v>
                </c:pt>
                <c:pt idx="103">
                  <c:v>5.3571428571428568</c:v>
                </c:pt>
                <c:pt idx="104">
                  <c:v>3.8461538461538463</c:v>
                </c:pt>
                <c:pt idx="105">
                  <c:v>5.1724137931034484</c:v>
                </c:pt>
                <c:pt idx="106">
                  <c:v>0.31779661016949151</c:v>
                </c:pt>
                <c:pt idx="107">
                  <c:v>0.36057692307692307</c:v>
                </c:pt>
                <c:pt idx="108">
                  <c:v>1.6129032258064515</c:v>
                </c:pt>
                <c:pt idx="109">
                  <c:v>1.6129032258064515</c:v>
                </c:pt>
                <c:pt idx="110">
                  <c:v>5.5555555555555554</c:v>
                </c:pt>
                <c:pt idx="111">
                  <c:v>1</c:v>
                </c:pt>
                <c:pt idx="112">
                  <c:v>1</c:v>
                </c:pt>
                <c:pt idx="113">
                  <c:v>5.3571428571428568</c:v>
                </c:pt>
                <c:pt idx="114">
                  <c:v>8.3333333333333339</c:v>
                </c:pt>
                <c:pt idx="115">
                  <c:v>5.2264808362369344</c:v>
                </c:pt>
                <c:pt idx="116">
                  <c:v>5.3571428571428568</c:v>
                </c:pt>
                <c:pt idx="117">
                  <c:v>3.8461538461538463</c:v>
                </c:pt>
                <c:pt idx="118">
                  <c:v>3.1779661016949157</c:v>
                </c:pt>
                <c:pt idx="119">
                  <c:v>2.4958402662229617</c:v>
                </c:pt>
                <c:pt idx="120">
                  <c:v>5.3571428571428568</c:v>
                </c:pt>
                <c:pt idx="121">
                  <c:v>3.75</c:v>
                </c:pt>
                <c:pt idx="122">
                  <c:v>5.3571428571428568</c:v>
                </c:pt>
                <c:pt idx="123">
                  <c:v>7.5</c:v>
                </c:pt>
                <c:pt idx="124">
                  <c:v>30</c:v>
                </c:pt>
                <c:pt idx="125">
                  <c:v>4.545454545454545</c:v>
                </c:pt>
                <c:pt idx="126">
                  <c:v>3.8461538461538463</c:v>
                </c:pt>
                <c:pt idx="127">
                  <c:v>1.0638297872340425</c:v>
                </c:pt>
                <c:pt idx="128">
                  <c:v>5.3571428571428568</c:v>
                </c:pt>
                <c:pt idx="129">
                  <c:v>1.948051948051948</c:v>
                </c:pt>
                <c:pt idx="130">
                  <c:v>0.6097560975609756</c:v>
                </c:pt>
                <c:pt idx="131">
                  <c:v>0.22222222222222224</c:v>
                </c:pt>
                <c:pt idx="132">
                  <c:v>1.0714285714285714</c:v>
                </c:pt>
                <c:pt idx="133">
                  <c:v>5.3571428571428568</c:v>
                </c:pt>
                <c:pt idx="134">
                  <c:v>0.24711696869851732</c:v>
                </c:pt>
                <c:pt idx="135">
                  <c:v>5.7121096725057123</c:v>
                </c:pt>
                <c:pt idx="136">
                  <c:v>1.6666666666666667</c:v>
                </c:pt>
                <c:pt idx="137">
                  <c:v>1.6666666666666667</c:v>
                </c:pt>
                <c:pt idx="138">
                  <c:v>0.57692307692307698</c:v>
                </c:pt>
                <c:pt idx="139">
                  <c:v>4.2857142857142856</c:v>
                </c:pt>
                <c:pt idx="140">
                  <c:v>25.862068965517242</c:v>
                </c:pt>
                <c:pt idx="141">
                  <c:v>3.8461538461538463</c:v>
                </c:pt>
                <c:pt idx="142">
                  <c:v>5.3571428571428568</c:v>
                </c:pt>
                <c:pt idx="143">
                  <c:v>5</c:v>
                </c:pt>
                <c:pt idx="144">
                  <c:v>1.0714285714285714</c:v>
                </c:pt>
                <c:pt idx="145">
                  <c:v>5.2264808362369344</c:v>
                </c:pt>
              </c:numCache>
            </c:numRef>
          </c:yVal>
          <c:smooth val="0"/>
          <c:extLst>
            <c:ext xmlns:c16="http://schemas.microsoft.com/office/drawing/2014/chart" uri="{C3380CC4-5D6E-409C-BE32-E72D297353CC}">
              <c16:uniqueId val="{00000000-9361-4131-9A12-7DBF64270063}"/>
            </c:ext>
          </c:extLst>
        </c:ser>
        <c:ser>
          <c:idx val="0"/>
          <c:order val="1"/>
          <c:tx>
            <c:v>TX</c:v>
          </c:tx>
          <c:spPr>
            <a:ln w="19050" cap="rnd">
              <a:noFill/>
              <a:round/>
            </a:ln>
            <a:effectLst/>
          </c:spPr>
          <c:marker>
            <c:symbol val="circle"/>
            <c:size val="7"/>
            <c:spPr>
              <a:solidFill>
                <a:srgbClr val="FF0000"/>
              </a:solidFill>
              <a:ln w="12700">
                <a:solidFill>
                  <a:schemeClr val="tx1"/>
                </a:solidFill>
              </a:ln>
              <a:effectLst/>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Plot_Data_Element_Size!$J$2:$J$147</c:f>
              <c:numCache>
                <c:formatCode>General</c:formatCode>
                <c:ptCount val="146"/>
                <c:pt idx="0">
                  <c:v>6.9999999999999991</c:v>
                </c:pt>
                <c:pt idx="1">
                  <c:v>#N/A</c:v>
                </c:pt>
                <c:pt idx="2">
                  <c:v>#N/A</c:v>
                </c:pt>
                <c:pt idx="3">
                  <c:v>#N/A</c:v>
                </c:pt>
                <c:pt idx="4">
                  <c:v>1.2098734437948457</c:v>
                </c:pt>
                <c:pt idx="5">
                  <c:v>#N/A</c:v>
                </c:pt>
                <c:pt idx="6">
                  <c:v>#N/A</c:v>
                </c:pt>
                <c:pt idx="7">
                  <c:v>#N/A</c:v>
                </c:pt>
                <c:pt idx="8">
                  <c:v>#N/A</c:v>
                </c:pt>
                <c:pt idx="9">
                  <c:v>#N/A</c:v>
                </c:pt>
                <c:pt idx="10">
                  <c:v>#N/A</c:v>
                </c:pt>
                <c:pt idx="11">
                  <c:v>#N/A</c:v>
                </c:pt>
                <c:pt idx="12">
                  <c:v>#N/A</c:v>
                </c:pt>
                <c:pt idx="13">
                  <c:v>#N/A</c:v>
                </c:pt>
                <c:pt idx="14">
                  <c:v>#N/A</c:v>
                </c:pt>
                <c:pt idx="15">
                  <c:v>#N/A</c:v>
                </c:pt>
                <c:pt idx="16">
                  <c:v>#N/A</c:v>
                </c:pt>
                <c:pt idx="17">
                  <c:v>1.0428326807307104</c:v>
                </c:pt>
                <c:pt idx="18">
                  <c:v>2.712240771023104</c:v>
                </c:pt>
                <c:pt idx="19">
                  <c:v>2.6061825530841078</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2</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1.0687499999999999</c:v>
                </c:pt>
                <c:pt idx="71">
                  <c:v>#N/A</c:v>
                </c:pt>
                <c:pt idx="72">
                  <c:v>#N/A</c:v>
                </c:pt>
                <c:pt idx="73">
                  <c:v>#N/A</c:v>
                </c:pt>
                <c:pt idx="74">
                  <c:v>#N/A</c:v>
                </c:pt>
                <c:pt idx="75">
                  <c:v>#N/A</c:v>
                </c:pt>
                <c:pt idx="76">
                  <c:v>0.96798356778408168</c:v>
                </c:pt>
                <c:pt idx="77">
                  <c:v>#N/A</c:v>
                </c:pt>
                <c:pt idx="78">
                  <c:v>#N/A</c:v>
                </c:pt>
                <c:pt idx="79">
                  <c:v>7.6174142594452618</c:v>
                </c:pt>
                <c:pt idx="80">
                  <c:v>5.3385391260156556</c:v>
                </c:pt>
                <c:pt idx="81">
                  <c:v>5.3385391260156556</c:v>
                </c:pt>
                <c:pt idx="82">
                  <c:v>5.3385391260156556</c:v>
                </c:pt>
                <c:pt idx="83">
                  <c:v>#N/A</c:v>
                </c:pt>
                <c:pt idx="84">
                  <c:v>#N/A</c:v>
                </c:pt>
                <c:pt idx="85">
                  <c:v>#N/A</c:v>
                </c:pt>
                <c:pt idx="86">
                  <c:v>#N/A</c:v>
                </c:pt>
                <c:pt idx="87">
                  <c:v>6.4</c:v>
                </c:pt>
                <c:pt idx="88">
                  <c:v>#N/A</c:v>
                </c:pt>
                <c:pt idx="89">
                  <c:v>#N/A</c:v>
                </c:pt>
                <c:pt idx="90">
                  <c:v>#N/A</c:v>
                </c:pt>
                <c:pt idx="91">
                  <c:v>#N/A</c:v>
                </c:pt>
                <c:pt idx="92">
                  <c:v>#N/A</c:v>
                </c:pt>
                <c:pt idx="93">
                  <c:v>#N/A</c:v>
                </c:pt>
                <c:pt idx="94">
                  <c:v>#N/A</c:v>
                </c:pt>
                <c:pt idx="95">
                  <c:v>#N/A</c:v>
                </c:pt>
                <c:pt idx="96">
                  <c:v>#N/A</c:v>
                </c:pt>
                <c:pt idx="97">
                  <c:v>#N/A</c:v>
                </c:pt>
                <c:pt idx="98">
                  <c:v>1.875</c:v>
                </c:pt>
                <c:pt idx="99">
                  <c:v>#N/A</c:v>
                </c:pt>
                <c:pt idx="100">
                  <c:v>#N/A</c:v>
                </c:pt>
                <c:pt idx="101">
                  <c:v>#N/A</c:v>
                </c:pt>
                <c:pt idx="102">
                  <c:v>11.541365820387117</c:v>
                </c:pt>
                <c:pt idx="103">
                  <c:v>#N/A</c:v>
                </c:pt>
                <c:pt idx="104">
                  <c:v>#N/A</c:v>
                </c:pt>
                <c:pt idx="105">
                  <c:v>#N/A</c:v>
                </c:pt>
                <c:pt idx="106">
                  <c:v>#N/A</c:v>
                </c:pt>
                <c:pt idx="107">
                  <c:v>#N/A</c:v>
                </c:pt>
                <c:pt idx="108">
                  <c:v>2.15</c:v>
                </c:pt>
                <c:pt idx="109">
                  <c:v>#N/A</c:v>
                </c:pt>
                <c:pt idx="110">
                  <c:v>#N/A</c:v>
                </c:pt>
                <c:pt idx="111">
                  <c:v>1.0416666666666667</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9.2978492136622641</c:v>
                </c:pt>
                <c:pt idx="125">
                  <c:v>9.2978492136622641</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1-9361-4131-9A12-7DBF64270063}"/>
            </c:ext>
          </c:extLst>
        </c:ser>
        <c:ser>
          <c:idx val="2"/>
          <c:order val="2"/>
          <c:tx>
            <c:v>RX</c:v>
          </c:tx>
          <c:spPr>
            <a:ln w="19050" cap="rnd">
              <a:noFill/>
              <a:round/>
            </a:ln>
            <a:effectLst/>
          </c:spPr>
          <c:marker>
            <c:symbol val="circle"/>
            <c:size val="7"/>
            <c:spPr>
              <a:solidFill>
                <a:srgbClr val="FFC000"/>
              </a:solidFill>
              <a:ln w="12700">
                <a:solidFill>
                  <a:schemeClr val="tx1"/>
                </a:solidFill>
              </a:ln>
              <a:effectLst/>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Plot_Data_Element_Size!$K$2:$K$147</c:f>
              <c:numCache>
                <c:formatCode>General</c:formatCode>
                <c:ptCount val="146"/>
                <c:pt idx="0">
                  <c:v>#N/A</c:v>
                </c:pt>
                <c:pt idx="1">
                  <c:v>#N/A</c:v>
                </c:pt>
                <c:pt idx="2">
                  <c:v>#N/A</c:v>
                </c:pt>
                <c:pt idx="3">
                  <c:v>6.9999999999999991</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2</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1.23125</c:v>
                </c:pt>
                <c:pt idx="70">
                  <c:v>#N/A</c:v>
                </c:pt>
                <c:pt idx="71">
                  <c:v>#N/A</c:v>
                </c:pt>
                <c:pt idx="72">
                  <c:v>#N/A</c:v>
                </c:pt>
                <c:pt idx="73">
                  <c:v>#N/A</c:v>
                </c:pt>
                <c:pt idx="74">
                  <c:v>1.1345945035562264</c:v>
                </c:pt>
                <c:pt idx="75">
                  <c:v>#N/A</c:v>
                </c:pt>
                <c:pt idx="76">
                  <c:v>#N/A</c:v>
                </c:pt>
                <c:pt idx="77">
                  <c:v>11.379463410020703</c:v>
                </c:pt>
                <c:pt idx="78">
                  <c:v>#N/A</c:v>
                </c:pt>
                <c:pt idx="79">
                  <c:v>#N/A</c:v>
                </c:pt>
                <c:pt idx="80">
                  <c:v>#N/A</c:v>
                </c:pt>
                <c:pt idx="81">
                  <c:v>#N/A</c:v>
                </c:pt>
                <c:pt idx="82">
                  <c:v>#N/A</c:v>
                </c:pt>
                <c:pt idx="83">
                  <c:v>#N/A</c:v>
                </c:pt>
                <c:pt idx="84">
                  <c:v>#N/A</c:v>
                </c:pt>
                <c:pt idx="85">
                  <c:v>5.3033008588991066</c:v>
                </c:pt>
                <c:pt idx="86">
                  <c:v>5.3033008588991066</c:v>
                </c:pt>
                <c:pt idx="87">
                  <c:v>#N/A</c:v>
                </c:pt>
                <c:pt idx="88">
                  <c:v>#N/A</c:v>
                </c:pt>
                <c:pt idx="89">
                  <c:v>#N/A</c:v>
                </c:pt>
                <c:pt idx="90">
                  <c:v>#N/A</c:v>
                </c:pt>
                <c:pt idx="91">
                  <c:v>#N/A</c:v>
                </c:pt>
                <c:pt idx="92">
                  <c:v>#N/A</c:v>
                </c:pt>
                <c:pt idx="93">
                  <c:v>#N/A</c:v>
                </c:pt>
                <c:pt idx="94">
                  <c:v>#N/A</c:v>
                </c:pt>
                <c:pt idx="95">
                  <c:v>#N/A</c:v>
                </c:pt>
                <c:pt idx="96">
                  <c:v>#N/A</c:v>
                </c:pt>
                <c:pt idx="97">
                  <c:v>#N/A</c:v>
                </c:pt>
                <c:pt idx="98">
                  <c:v>#N/A</c:v>
                </c:pt>
                <c:pt idx="99">
                  <c:v>1.875</c:v>
                </c:pt>
                <c:pt idx="100">
                  <c:v>#N/A</c:v>
                </c:pt>
                <c:pt idx="101">
                  <c:v>#N/A</c:v>
                </c:pt>
                <c:pt idx="102">
                  <c:v>#N/A</c:v>
                </c:pt>
                <c:pt idx="103">
                  <c:v>#N/A</c:v>
                </c:pt>
                <c:pt idx="104">
                  <c:v>#N/A</c:v>
                </c:pt>
                <c:pt idx="105">
                  <c:v>#N/A</c:v>
                </c:pt>
                <c:pt idx="106">
                  <c:v>#N/A</c:v>
                </c:pt>
                <c:pt idx="107">
                  <c:v>#N/A</c:v>
                </c:pt>
                <c:pt idx="108">
                  <c:v>#N/A</c:v>
                </c:pt>
                <c:pt idx="109">
                  <c:v>2.15</c:v>
                </c:pt>
                <c:pt idx="110">
                  <c:v>#N/A</c:v>
                </c:pt>
                <c:pt idx="111">
                  <c:v>#N/A</c:v>
                </c:pt>
                <c:pt idx="112">
                  <c:v>1.0416666666666667</c:v>
                </c:pt>
                <c:pt idx="113">
                  <c:v>#N/A</c:v>
                </c:pt>
                <c:pt idx="114">
                  <c:v>#N/A</c:v>
                </c:pt>
                <c:pt idx="115">
                  <c:v>#N/A</c:v>
                </c:pt>
                <c:pt idx="116">
                  <c:v>#N/A</c:v>
                </c:pt>
                <c:pt idx="117">
                  <c:v>#N/A</c:v>
                </c:pt>
                <c:pt idx="118">
                  <c:v>#N/A</c:v>
                </c:pt>
                <c:pt idx="119">
                  <c:v>#N/A</c:v>
                </c:pt>
                <c:pt idx="120">
                  <c:v>#N/A</c:v>
                </c:pt>
                <c:pt idx="121">
                  <c:v>#N/A</c:v>
                </c:pt>
                <c:pt idx="122">
                  <c:v>#N/A</c:v>
                </c:pt>
                <c:pt idx="123">
                  <c:v>0.81009258730098255</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2-9361-4131-9A12-7DBF64270063}"/>
            </c:ext>
          </c:extLst>
        </c:ser>
        <c:ser>
          <c:idx val="3"/>
          <c:order val="3"/>
          <c:tx>
            <c:v>TRX</c:v>
          </c:tx>
          <c:spPr>
            <a:ln w="19050" cap="rnd">
              <a:noFill/>
              <a:round/>
            </a:ln>
            <a:effectLst/>
          </c:spPr>
          <c:marker>
            <c:symbol val="circle"/>
            <c:size val="7"/>
            <c:spPr>
              <a:solidFill>
                <a:srgbClr val="7030A0"/>
              </a:solidFill>
              <a:ln w="12700">
                <a:solidFill>
                  <a:schemeClr val="tx1"/>
                </a:solidFill>
              </a:ln>
              <a:effectLst/>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Plot_Data_Element_Size!$L$2:$L$147</c:f>
              <c:numCache>
                <c:formatCode>General</c:formatCode>
                <c:ptCount val="146"/>
                <c:pt idx="0">
                  <c:v>#N/A</c:v>
                </c:pt>
                <c:pt idx="1">
                  <c:v>#N/A</c:v>
                </c:pt>
                <c:pt idx="2">
                  <c:v>#N/A</c:v>
                </c:pt>
                <c:pt idx="3">
                  <c:v>#N/A</c:v>
                </c:pt>
                <c:pt idx="4">
                  <c:v>#N/A</c:v>
                </c:pt>
                <c:pt idx="5">
                  <c:v>#N/A</c:v>
                </c:pt>
                <c:pt idx="6">
                  <c:v>#N/A</c:v>
                </c:pt>
                <c:pt idx="7">
                  <c:v>#N/A</c:v>
                </c:pt>
                <c:pt idx="8">
                  <c:v>4.4194173824159222</c:v>
                </c:pt>
                <c:pt idx="9">
                  <c:v>1.5625</c:v>
                </c:pt>
                <c:pt idx="10">
                  <c:v>#N/A</c:v>
                </c:pt>
                <c:pt idx="11">
                  <c:v>#N/A</c:v>
                </c:pt>
                <c:pt idx="12">
                  <c:v>#N/A</c:v>
                </c:pt>
                <c:pt idx="13">
                  <c:v>#N/A</c:v>
                </c:pt>
                <c:pt idx="14">
                  <c:v>1.8</c:v>
                </c:pt>
                <c:pt idx="15">
                  <c:v>1.8</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3.6276714294434114</c:v>
                </c:pt>
                <c:pt idx="30">
                  <c:v>2.0718600741041047</c:v>
                </c:pt>
                <c:pt idx="31">
                  <c:v>2.0718600741041047</c:v>
                </c:pt>
                <c:pt idx="32">
                  <c:v>#N/A</c:v>
                </c:pt>
                <c:pt idx="33">
                  <c:v>5.3665631459994954</c:v>
                </c:pt>
                <c:pt idx="34">
                  <c:v>#N/A</c:v>
                </c:pt>
                <c:pt idx="35">
                  <c:v>#N/A</c:v>
                </c:pt>
                <c:pt idx="36">
                  <c:v>#N/A</c:v>
                </c:pt>
                <c:pt idx="37">
                  <c:v>#N/A</c:v>
                </c:pt>
                <c:pt idx="38">
                  <c:v>#N/A</c:v>
                </c:pt>
                <c:pt idx="39">
                  <c:v>#N/A</c:v>
                </c:pt>
                <c:pt idx="40">
                  <c:v>1.948557158514987</c:v>
                </c:pt>
                <c:pt idx="41">
                  <c:v>#N/A</c:v>
                </c:pt>
                <c:pt idx="42">
                  <c:v>#N/A</c:v>
                </c:pt>
                <c:pt idx="43">
                  <c:v>#N/A</c:v>
                </c:pt>
                <c:pt idx="44">
                  <c:v>3.876763711525375</c:v>
                </c:pt>
                <c:pt idx="45">
                  <c:v>#N/A</c:v>
                </c:pt>
                <c:pt idx="46">
                  <c:v>#N/A</c:v>
                </c:pt>
                <c:pt idx="47">
                  <c:v>#N/A</c:v>
                </c:pt>
                <c:pt idx="48">
                  <c:v>#N/A</c:v>
                </c:pt>
                <c:pt idx="49">
                  <c:v>#N/A</c:v>
                </c:pt>
                <c:pt idx="50">
                  <c:v>#N/A</c:v>
                </c:pt>
                <c:pt idx="51">
                  <c:v>2.2590097388014954</c:v>
                </c:pt>
                <c:pt idx="52">
                  <c:v>#N/A</c:v>
                </c:pt>
                <c:pt idx="53">
                  <c:v>#N/A</c:v>
                </c:pt>
                <c:pt idx="54">
                  <c:v>#N/A</c:v>
                </c:pt>
                <c:pt idx="55">
                  <c:v>#N/A</c:v>
                </c:pt>
                <c:pt idx="56">
                  <c:v>#N/A</c:v>
                </c:pt>
                <c:pt idx="57">
                  <c:v>#N/A</c:v>
                </c:pt>
                <c:pt idx="58">
                  <c:v>7.245688373094719</c:v>
                </c:pt>
                <c:pt idx="59">
                  <c:v>5</c:v>
                </c:pt>
                <c:pt idx="60">
                  <c:v>5.5593389894842709</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0.76892782496148493</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4.4280356818797202</c:v>
                </c:pt>
                <c:pt idx="104">
                  <c:v>4.4280356818797202</c:v>
                </c:pt>
                <c:pt idx="105">
                  <c:v>#N/A</c:v>
                </c:pt>
                <c:pt idx="106">
                  <c:v>#N/A</c:v>
                </c:pt>
                <c:pt idx="107">
                  <c:v>#N/A</c:v>
                </c:pt>
                <c:pt idx="108">
                  <c:v>#N/A</c:v>
                </c:pt>
                <c:pt idx="109">
                  <c:v>#N/A</c:v>
                </c:pt>
                <c:pt idx="110">
                  <c:v>2.65625</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2.4248711305964283</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7.3710582686612911</c:v>
                </c:pt>
                <c:pt idx="141">
                  <c:v>3.4234485537247381</c:v>
                </c:pt>
                <c:pt idx="142">
                  <c:v>#N/A</c:v>
                </c:pt>
                <c:pt idx="143">
                  <c:v>#N/A</c:v>
                </c:pt>
                <c:pt idx="144">
                  <c:v>1.0863499666313798</c:v>
                </c:pt>
                <c:pt idx="145">
                  <c:v>#N/A</c:v>
                </c:pt>
              </c:numCache>
            </c:numRef>
          </c:yVal>
          <c:smooth val="0"/>
          <c:extLst>
            <c:ext xmlns:c16="http://schemas.microsoft.com/office/drawing/2014/chart" uri="{C3380CC4-5D6E-409C-BE32-E72D297353CC}">
              <c16:uniqueId val="{00000003-9361-4131-9A12-7DBF64270063}"/>
            </c:ext>
          </c:extLst>
        </c:ser>
        <c:ser>
          <c:idx val="4"/>
          <c:order val="4"/>
          <c:tx>
            <c:v>Oscillator</c:v>
          </c:tx>
          <c:spPr>
            <a:ln w="19050" cap="rnd">
              <a:noFill/>
              <a:round/>
            </a:ln>
            <a:effectLst/>
          </c:spPr>
          <c:marker>
            <c:symbol val="circle"/>
            <c:size val="7"/>
            <c:spPr>
              <a:solidFill>
                <a:srgbClr val="00B050"/>
              </a:solidFill>
              <a:ln w="12700">
                <a:solidFill>
                  <a:schemeClr val="tx1"/>
                </a:solidFill>
              </a:ln>
              <a:effectLst/>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Plot_Data_Element_Size!$M$2:$M$147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4-9361-4131-9A12-7DBF64270063}"/>
            </c:ext>
          </c:extLst>
        </c:ser>
        <c:ser>
          <c:idx val="5"/>
          <c:order val="5"/>
          <c:tx>
            <c:v>Relay</c:v>
          </c:tx>
          <c:spPr>
            <a:ln w="19050" cap="rnd">
              <a:noFill/>
              <a:round/>
            </a:ln>
            <a:effectLst/>
          </c:spPr>
          <c:marker>
            <c:symbol val="circle"/>
            <c:size val="7"/>
            <c:spPr>
              <a:solidFill>
                <a:srgbClr val="00B0F0"/>
              </a:solidFill>
              <a:ln w="12700">
                <a:solidFill>
                  <a:schemeClr val="tx1"/>
                </a:solidFill>
              </a:ln>
              <a:effectLst/>
            </c:spPr>
          </c:marker>
          <c:xVal>
            <c:numRef>
              <c:f>Plot_Data_Element_Size!$A$2:$A$147</c:f>
              <c:numCache>
                <c:formatCode>General</c:formatCode>
                <c:ptCount val="146"/>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numCache>
            </c:numRef>
          </c:xVal>
          <c:yVal>
            <c:numRef>
              <c:f>Plot_Data_Element_Size!$N$2:$N$147</c:f>
              <c:numCache>
                <c:formatCode>General</c:formatCode>
                <c:ptCount val="146"/>
                <c:pt idx="0">
                  <c:v>#N/A</c:v>
                </c:pt>
                <c:pt idx="1">
                  <c:v>#N/A</c:v>
                </c:pt>
                <c:pt idx="2">
                  <c:v>#N/A</c:v>
                </c:pt>
                <c:pt idx="3">
                  <c:v>#N/A</c:v>
                </c:pt>
                <c:pt idx="4">
                  <c:v>#N/A</c:v>
                </c:pt>
                <c:pt idx="5">
                  <c:v>8.4885144386937768</c:v>
                </c:pt>
                <c:pt idx="6">
                  <c:v>7.9585527305101369</c:v>
                </c:pt>
                <c:pt idx="7">
                  <c:v>18.382096332494079</c:v>
                </c:pt>
                <c:pt idx="8">
                  <c:v>#N/A</c:v>
                </c:pt>
                <c:pt idx="9">
                  <c:v>#N/A</c:v>
                </c:pt>
                <c:pt idx="10">
                  <c:v>#N/A</c:v>
                </c:pt>
                <c:pt idx="11">
                  <c:v>5</c:v>
                </c:pt>
                <c:pt idx="12">
                  <c:v>#N/A</c:v>
                </c:pt>
                <c:pt idx="13">
                  <c:v>#N/A</c:v>
                </c:pt>
                <c:pt idx="14">
                  <c:v>#N/A</c:v>
                </c:pt>
                <c:pt idx="15">
                  <c:v>#N/A</c:v>
                </c:pt>
                <c:pt idx="16">
                  <c:v>2.9166666666666665</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2.2782453304493542</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5</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0.5714285714285714</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5-9361-4131-9A12-7DBF64270063}"/>
            </c:ext>
          </c:extLst>
        </c:ser>
        <c:dLbls>
          <c:showLegendKey val="0"/>
          <c:showVal val="0"/>
          <c:showCatName val="0"/>
          <c:showSerName val="0"/>
          <c:showPercent val="0"/>
          <c:showBubbleSize val="0"/>
        </c:dLbls>
        <c:axId val="422369567"/>
        <c:axId val="923243183"/>
      </c:scatterChart>
      <c:valAx>
        <c:axId val="422369567"/>
        <c:scaling>
          <c:logBase val="10"/>
          <c:orientation val="minMax"/>
          <c:max val="750"/>
          <c:min val="5"/>
        </c:scaling>
        <c:delete val="0"/>
        <c:axPos val="b"/>
        <c:majorGridlines>
          <c:spPr>
            <a:ln w="15875" cap="flat" cmpd="sng" algn="ctr">
              <a:solidFill>
                <a:schemeClr val="bg1">
                  <a:lumMod val="75000"/>
                </a:schemeClr>
              </a:solidFill>
              <a:prstDash val="sysDash"/>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 Frequency (GHz)</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923243183"/>
        <c:crosses val="autoZero"/>
        <c:crossBetween val="midCat"/>
      </c:valAx>
      <c:valAx>
        <c:axId val="923243183"/>
        <c:scaling>
          <c:logBase val="10"/>
          <c:orientation val="minMax"/>
        </c:scaling>
        <c:delete val="0"/>
        <c:axPos val="l"/>
        <c:majorGridlines>
          <c:spPr>
            <a:ln w="15875" cap="flat" cmpd="sng" algn="ctr">
              <a:solidFill>
                <a:schemeClr val="bg1">
                  <a:lumMod val="75000"/>
                </a:schemeClr>
              </a:solidFill>
              <a:prstDash val="sysDash"/>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l-GR"/>
                  <a:t>λ</a:t>
                </a:r>
                <a:r>
                  <a:rPr lang="en-US"/>
                  <a:t>/2 in Air and √area (mm)</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422369567"/>
        <c:crosses val="autoZero"/>
        <c:crossBetween val="midCat"/>
      </c:valAx>
      <c:spPr>
        <a:noFill/>
        <a:ln w="25400">
          <a:solidFill>
            <a:schemeClr val="tx1"/>
          </a:solidFill>
        </a:ln>
        <a:effectLst/>
      </c:spPr>
    </c:plotArea>
    <c:legend>
      <c:legendPos val="r"/>
      <c:legendEntry>
        <c:idx val="0"/>
        <c:delete val="1"/>
      </c:legendEntry>
      <c:layout>
        <c:manualLayout>
          <c:xMode val="edge"/>
          <c:yMode val="edge"/>
          <c:x val="0.60203649023038797"/>
          <c:y val="0.16210083114610674"/>
          <c:w val="0.34296329786519719"/>
          <c:h val="0.19017525926132497"/>
        </c:manualLayout>
      </c:layout>
      <c:overlay val="1"/>
      <c:spPr>
        <a:solidFill>
          <a:schemeClr val="bg1"/>
        </a:solidFill>
        <a:ln w="15240">
          <a:solidFill>
            <a:schemeClr val="tx1"/>
          </a:solid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legend>
    <c:plotVisOnly val="1"/>
    <c:dispBlanksAs val="span"/>
    <c:showDLblsOverMax val="0"/>
    <c:extLst/>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r>
              <a:rPr lang="en-US"/>
              <a:t>Frequency vs.</a:t>
            </a:r>
            <a:r>
              <a:rPr lang="en-US" baseline="0"/>
              <a:t> Publication Year</a:t>
            </a:r>
            <a:endParaRPr lang="en-US"/>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endParaRPr lang="en-CH"/>
        </a:p>
      </c:txPr>
    </c:title>
    <c:autoTitleDeleted val="0"/>
    <c:plotArea>
      <c:layout>
        <c:manualLayout>
          <c:layoutTarget val="inner"/>
          <c:xMode val="edge"/>
          <c:yMode val="edge"/>
          <c:x val="0.14921300160060638"/>
          <c:y val="0.1655132371066812"/>
          <c:w val="0.79971172958218928"/>
          <c:h val="0.62126968928366488"/>
        </c:manualLayout>
      </c:layout>
      <c:scatterChart>
        <c:scatterStyle val="lineMarker"/>
        <c:varyColors val="0"/>
        <c:ser>
          <c:idx val="0"/>
          <c:order val="0"/>
          <c:tx>
            <c:v>TX</c:v>
          </c:tx>
          <c:spPr>
            <a:ln w="25400" cap="rnd">
              <a:noFill/>
              <a:round/>
            </a:ln>
            <a:effectLst/>
          </c:spPr>
          <c:marker>
            <c:symbol val="circle"/>
            <c:size val="7"/>
            <c:spPr>
              <a:solidFill>
                <a:srgbClr val="FF0000">
                  <a:alpha val="50000"/>
                </a:srgbClr>
              </a:solidFill>
              <a:ln w="9525">
                <a:noFill/>
              </a:ln>
              <a:effectLst/>
            </c:spPr>
          </c:marker>
          <c:xVal>
            <c:numRef>
              <c:f>Plot_data_time!$B$2:$B$147</c:f>
              <c:numCache>
                <c:formatCode>m/d/yy</c:formatCode>
                <c:ptCount val="146"/>
                <c:pt idx="0">
                  <c:v>40513</c:v>
                </c:pt>
                <c:pt idx="1">
                  <c:v>#N/A</c:v>
                </c:pt>
                <c:pt idx="2">
                  <c:v>#N/A</c:v>
                </c:pt>
                <c:pt idx="3">
                  <c:v>#N/A</c:v>
                </c:pt>
                <c:pt idx="4">
                  <c:v>41061</c:v>
                </c:pt>
                <c:pt idx="5">
                  <c:v>#N/A</c:v>
                </c:pt>
                <c:pt idx="6">
                  <c:v>#N/A</c:v>
                </c:pt>
                <c:pt idx="7">
                  <c:v>#N/A</c:v>
                </c:pt>
                <c:pt idx="8">
                  <c:v>#N/A</c:v>
                </c:pt>
                <c:pt idx="9">
                  <c:v>#N/A</c:v>
                </c:pt>
                <c:pt idx="10">
                  <c:v>#N/A</c:v>
                </c:pt>
                <c:pt idx="11">
                  <c:v>#N/A</c:v>
                </c:pt>
                <c:pt idx="12">
                  <c:v>#N/A</c:v>
                </c:pt>
                <c:pt idx="13">
                  <c:v>#N/A</c:v>
                </c:pt>
                <c:pt idx="14">
                  <c:v>#N/A</c:v>
                </c:pt>
                <c:pt idx="15">
                  <c:v>#N/A</c:v>
                </c:pt>
                <c:pt idx="16">
                  <c:v>#N/A</c:v>
                </c:pt>
                <c:pt idx="17">
                  <c:v>42644</c:v>
                </c:pt>
                <c:pt idx="18">
                  <c:v>42705</c:v>
                </c:pt>
                <c:pt idx="19">
                  <c:v>42705</c:v>
                </c:pt>
                <c:pt idx="20">
                  <c:v>#N/A</c:v>
                </c:pt>
                <c:pt idx="21">
                  <c:v>42767</c:v>
                </c:pt>
                <c:pt idx="22">
                  <c:v>#N/A</c:v>
                </c:pt>
                <c:pt idx="23">
                  <c:v>#N/A</c:v>
                </c:pt>
                <c:pt idx="24">
                  <c:v>#N/A</c:v>
                </c:pt>
                <c:pt idx="25">
                  <c:v>#N/A</c:v>
                </c:pt>
                <c:pt idx="26">
                  <c:v>#N/A</c:v>
                </c:pt>
                <c:pt idx="27">
                  <c:v>#N/A</c:v>
                </c:pt>
                <c:pt idx="28">
                  <c:v>#N/A</c:v>
                </c:pt>
                <c:pt idx="29">
                  <c:v>#N/A</c:v>
                </c:pt>
                <c:pt idx="30">
                  <c:v>#N/A</c:v>
                </c:pt>
                <c:pt idx="31">
                  <c:v>#N/A</c:v>
                </c:pt>
                <c:pt idx="32">
                  <c:v>#N/A</c:v>
                </c:pt>
                <c:pt idx="33">
                  <c:v>#N/A</c:v>
                </c:pt>
                <c:pt idx="34">
                  <c:v>43344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44044</c:v>
                </c:pt>
                <c:pt idx="56">
                  <c:v>44044</c:v>
                </c:pt>
                <c:pt idx="57">
                  <c:v>#N/A</c:v>
                </c:pt>
                <c:pt idx="58">
                  <c:v>#N/A</c:v>
                </c:pt>
                <c:pt idx="59">
                  <c:v>#N/A</c:v>
                </c:pt>
                <c:pt idx="60">
                  <c:v>#N/A</c:v>
                </c:pt>
                <c:pt idx="61">
                  <c:v>44228</c:v>
                </c:pt>
                <c:pt idx="62">
                  <c:v>#N/A</c:v>
                </c:pt>
                <c:pt idx="63">
                  <c:v>#N/A</c:v>
                </c:pt>
                <c:pt idx="64">
                  <c:v>#N/A</c:v>
                </c:pt>
                <c:pt idx="65">
                  <c:v>#N/A</c:v>
                </c:pt>
                <c:pt idx="66">
                  <c:v>#N/A</c:v>
                </c:pt>
                <c:pt idx="67">
                  <c:v>#N/A</c:v>
                </c:pt>
                <c:pt idx="68">
                  <c:v>44256</c:v>
                </c:pt>
                <c:pt idx="69">
                  <c:v>#N/A</c:v>
                </c:pt>
                <c:pt idx="70">
                  <c:v>44317</c:v>
                </c:pt>
                <c:pt idx="71">
                  <c:v>#N/A</c:v>
                </c:pt>
                <c:pt idx="72">
                  <c:v>#N/A</c:v>
                </c:pt>
                <c:pt idx="73">
                  <c:v>#N/A</c:v>
                </c:pt>
                <c:pt idx="74">
                  <c:v>#N/A</c:v>
                </c:pt>
                <c:pt idx="75">
                  <c:v>#N/A</c:v>
                </c:pt>
                <c:pt idx="76">
                  <c:v>44440</c:v>
                </c:pt>
                <c:pt idx="77">
                  <c:v>#N/A</c:v>
                </c:pt>
                <c:pt idx="78">
                  <c:v>#N/A</c:v>
                </c:pt>
                <c:pt idx="79">
                  <c:v>44531</c:v>
                </c:pt>
                <c:pt idx="80">
                  <c:v>44531</c:v>
                </c:pt>
                <c:pt idx="81">
                  <c:v>44531</c:v>
                </c:pt>
                <c:pt idx="82">
                  <c:v>44531</c:v>
                </c:pt>
                <c:pt idx="83">
                  <c:v>#N/A</c:v>
                </c:pt>
                <c:pt idx="84">
                  <c:v>#N/A</c:v>
                </c:pt>
                <c:pt idx="85">
                  <c:v>#N/A</c:v>
                </c:pt>
                <c:pt idx="86">
                  <c:v>#N/A</c:v>
                </c:pt>
                <c:pt idx="87">
                  <c:v>44562</c:v>
                </c:pt>
                <c:pt idx="88">
                  <c:v>#N/A</c:v>
                </c:pt>
                <c:pt idx="89">
                  <c:v>#N/A</c:v>
                </c:pt>
                <c:pt idx="90">
                  <c:v>#N/A</c:v>
                </c:pt>
                <c:pt idx="91">
                  <c:v>#N/A</c:v>
                </c:pt>
                <c:pt idx="92">
                  <c:v>#N/A</c:v>
                </c:pt>
                <c:pt idx="93">
                  <c:v>#N/A</c:v>
                </c:pt>
                <c:pt idx="94">
                  <c:v>#N/A</c:v>
                </c:pt>
                <c:pt idx="95">
                  <c:v>44593</c:v>
                </c:pt>
                <c:pt idx="96">
                  <c:v>44593</c:v>
                </c:pt>
                <c:pt idx="97">
                  <c:v>#N/A</c:v>
                </c:pt>
                <c:pt idx="98">
                  <c:v>44593</c:v>
                </c:pt>
                <c:pt idx="99">
                  <c:v>#N/A</c:v>
                </c:pt>
                <c:pt idx="100">
                  <c:v>#N/A</c:v>
                </c:pt>
                <c:pt idx="101">
                  <c:v>#N/A</c:v>
                </c:pt>
                <c:pt idx="102">
                  <c:v>44713</c:v>
                </c:pt>
                <c:pt idx="103">
                  <c:v>#N/A</c:v>
                </c:pt>
                <c:pt idx="104">
                  <c:v>#N/A</c:v>
                </c:pt>
                <c:pt idx="105">
                  <c:v>44713</c:v>
                </c:pt>
                <c:pt idx="106">
                  <c:v>#N/A</c:v>
                </c:pt>
                <c:pt idx="107">
                  <c:v>#N/A</c:v>
                </c:pt>
                <c:pt idx="108">
                  <c:v>44743</c:v>
                </c:pt>
                <c:pt idx="109">
                  <c:v>#N/A</c:v>
                </c:pt>
                <c:pt idx="110">
                  <c:v>#N/A</c:v>
                </c:pt>
                <c:pt idx="111">
                  <c:v>44805</c:v>
                </c:pt>
                <c:pt idx="112">
                  <c:v>#N/A</c:v>
                </c:pt>
                <c:pt idx="113">
                  <c:v>#N/A</c:v>
                </c:pt>
                <c:pt idx="114">
                  <c:v>#N/A</c:v>
                </c:pt>
                <c:pt idx="115">
                  <c:v>44835</c:v>
                </c:pt>
                <c:pt idx="116">
                  <c:v>#N/A</c:v>
                </c:pt>
                <c:pt idx="117">
                  <c:v>#N/A</c:v>
                </c:pt>
                <c:pt idx="118">
                  <c:v>#N/A</c:v>
                </c:pt>
                <c:pt idx="119">
                  <c:v>#N/A</c:v>
                </c:pt>
                <c:pt idx="120">
                  <c:v>#N/A</c:v>
                </c:pt>
                <c:pt idx="121">
                  <c:v>#N/A</c:v>
                </c:pt>
                <c:pt idx="122">
                  <c:v>#N/A</c:v>
                </c:pt>
                <c:pt idx="123">
                  <c:v>#N/A</c:v>
                </c:pt>
                <c:pt idx="124">
                  <c:v>44896</c:v>
                </c:pt>
                <c:pt idx="125">
                  <c:v>44896</c:v>
                </c:pt>
                <c:pt idx="126">
                  <c:v>#N/A</c:v>
                </c:pt>
                <c:pt idx="127">
                  <c:v>#N/A</c:v>
                </c:pt>
                <c:pt idx="128">
                  <c:v>44927</c:v>
                </c:pt>
                <c:pt idx="129">
                  <c:v>44958</c:v>
                </c:pt>
                <c:pt idx="130">
                  <c:v>44958</c:v>
                </c:pt>
                <c:pt idx="131">
                  <c:v>#N/A</c:v>
                </c:pt>
                <c:pt idx="132">
                  <c:v>#N/A</c:v>
                </c:pt>
                <c:pt idx="133">
                  <c:v>#N/A</c:v>
                </c:pt>
                <c:pt idx="134">
                  <c:v>#N/A</c:v>
                </c:pt>
                <c:pt idx="135">
                  <c:v>44958</c:v>
                </c:pt>
                <c:pt idx="136">
                  <c:v>44958</c:v>
                </c:pt>
                <c:pt idx="137">
                  <c:v>#N/A</c:v>
                </c:pt>
                <c:pt idx="138">
                  <c:v>#N/A</c:v>
                </c:pt>
                <c:pt idx="139">
                  <c:v>#N/A</c:v>
                </c:pt>
                <c:pt idx="140">
                  <c:v>#N/A</c:v>
                </c:pt>
                <c:pt idx="141">
                  <c:v>#N/A</c:v>
                </c:pt>
                <c:pt idx="142">
                  <c:v>#N/A</c:v>
                </c:pt>
                <c:pt idx="143">
                  <c:v>#N/A</c:v>
                </c:pt>
                <c:pt idx="144">
                  <c:v>#N/A</c:v>
                </c:pt>
                <c:pt idx="145">
                  <c:v>#N/A</c:v>
                </c:pt>
              </c:numCache>
            </c:numRef>
          </c:xVal>
          <c:yVal>
            <c:numRef>
              <c:f>Plot_data_time!$A$2:$A$147</c:f>
              <c:numCache>
                <c:formatCode>General</c:formatCode>
                <c:ptCount val="146"/>
                <c:pt idx="0">
                  <c:v>60</c:v>
                </c:pt>
                <c:pt idx="1">
                  <c:v>#N/A</c:v>
                </c:pt>
                <c:pt idx="2">
                  <c:v>#N/A</c:v>
                </c:pt>
                <c:pt idx="3">
                  <c:v>#N/A</c:v>
                </c:pt>
                <c:pt idx="4">
                  <c:v>110</c:v>
                </c:pt>
                <c:pt idx="5">
                  <c:v>#N/A</c:v>
                </c:pt>
                <c:pt idx="6">
                  <c:v>#N/A</c:v>
                </c:pt>
                <c:pt idx="7">
                  <c:v>#N/A</c:v>
                </c:pt>
                <c:pt idx="8">
                  <c:v>#N/A</c:v>
                </c:pt>
                <c:pt idx="9">
                  <c:v>#N/A</c:v>
                </c:pt>
                <c:pt idx="10">
                  <c:v>#N/A</c:v>
                </c:pt>
                <c:pt idx="11">
                  <c:v>#N/A</c:v>
                </c:pt>
                <c:pt idx="12">
                  <c:v>#N/A</c:v>
                </c:pt>
                <c:pt idx="13">
                  <c:v>#N/A</c:v>
                </c:pt>
                <c:pt idx="14">
                  <c:v>#N/A</c:v>
                </c:pt>
                <c:pt idx="15">
                  <c:v>#N/A</c:v>
                </c:pt>
                <c:pt idx="16">
                  <c:v>#N/A</c:v>
                </c:pt>
                <c:pt idx="17">
                  <c:v>390</c:v>
                </c:pt>
                <c:pt idx="18">
                  <c:v>60</c:v>
                </c:pt>
                <c:pt idx="19">
                  <c:v>60</c:v>
                </c:pt>
                <c:pt idx="20">
                  <c:v>#N/A</c:v>
                </c:pt>
                <c:pt idx="21">
                  <c:v>290</c:v>
                </c:pt>
                <c:pt idx="22">
                  <c:v>#N/A</c:v>
                </c:pt>
                <c:pt idx="23">
                  <c:v>#N/A</c:v>
                </c:pt>
                <c:pt idx="24">
                  <c:v>#N/A</c:v>
                </c:pt>
                <c:pt idx="25">
                  <c:v>#N/A</c:v>
                </c:pt>
                <c:pt idx="26">
                  <c:v>#N/A</c:v>
                </c:pt>
                <c:pt idx="27">
                  <c:v>#N/A</c:v>
                </c:pt>
                <c:pt idx="28">
                  <c:v>#N/A</c:v>
                </c:pt>
                <c:pt idx="29">
                  <c:v>#N/A</c:v>
                </c:pt>
                <c:pt idx="30">
                  <c:v>#N/A</c:v>
                </c:pt>
                <c:pt idx="31">
                  <c:v>#N/A</c:v>
                </c:pt>
                <c:pt idx="32">
                  <c:v>#N/A</c:v>
                </c:pt>
                <c:pt idx="33">
                  <c:v>#N/A</c:v>
                </c:pt>
                <c:pt idx="34">
                  <c:v>94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390</c:v>
                </c:pt>
                <c:pt idx="56">
                  <c:v>140</c:v>
                </c:pt>
                <c:pt idx="57">
                  <c:v>#N/A</c:v>
                </c:pt>
                <c:pt idx="58">
                  <c:v>#N/A</c:v>
                </c:pt>
                <c:pt idx="59">
                  <c:v>#N/A</c:v>
                </c:pt>
                <c:pt idx="60">
                  <c:v>#N/A</c:v>
                </c:pt>
                <c:pt idx="61">
                  <c:v>420</c:v>
                </c:pt>
                <c:pt idx="62">
                  <c:v>#N/A</c:v>
                </c:pt>
                <c:pt idx="63">
                  <c:v>#N/A</c:v>
                </c:pt>
                <c:pt idx="64">
                  <c:v>#N/A</c:v>
                </c:pt>
                <c:pt idx="65">
                  <c:v>#N/A</c:v>
                </c:pt>
                <c:pt idx="66">
                  <c:v>#N/A</c:v>
                </c:pt>
                <c:pt idx="67">
                  <c:v>#N/A</c:v>
                </c:pt>
                <c:pt idx="68">
                  <c:v>60</c:v>
                </c:pt>
                <c:pt idx="69">
                  <c:v>#N/A</c:v>
                </c:pt>
                <c:pt idx="70">
                  <c:v>14</c:v>
                </c:pt>
                <c:pt idx="71">
                  <c:v>#N/A</c:v>
                </c:pt>
                <c:pt idx="72">
                  <c:v>#N/A</c:v>
                </c:pt>
                <c:pt idx="73">
                  <c:v>#N/A</c:v>
                </c:pt>
                <c:pt idx="74">
                  <c:v>#N/A</c:v>
                </c:pt>
                <c:pt idx="75">
                  <c:v>#N/A</c:v>
                </c:pt>
                <c:pt idx="76">
                  <c:v>14</c:v>
                </c:pt>
                <c:pt idx="77">
                  <c:v>#N/A</c:v>
                </c:pt>
                <c:pt idx="78">
                  <c:v>#N/A</c:v>
                </c:pt>
                <c:pt idx="79">
                  <c:v>30</c:v>
                </c:pt>
                <c:pt idx="80">
                  <c:v>18</c:v>
                </c:pt>
                <c:pt idx="81">
                  <c:v>30</c:v>
                </c:pt>
                <c:pt idx="82">
                  <c:v>50</c:v>
                </c:pt>
                <c:pt idx="83">
                  <c:v>#N/A</c:v>
                </c:pt>
                <c:pt idx="84">
                  <c:v>#N/A</c:v>
                </c:pt>
                <c:pt idx="85">
                  <c:v>#N/A</c:v>
                </c:pt>
                <c:pt idx="86">
                  <c:v>#N/A</c:v>
                </c:pt>
                <c:pt idx="87">
                  <c:v>28</c:v>
                </c:pt>
                <c:pt idx="88">
                  <c:v>#N/A</c:v>
                </c:pt>
                <c:pt idx="89">
                  <c:v>#N/A</c:v>
                </c:pt>
                <c:pt idx="90">
                  <c:v>#N/A</c:v>
                </c:pt>
                <c:pt idx="91">
                  <c:v>#N/A</c:v>
                </c:pt>
                <c:pt idx="92">
                  <c:v>#N/A</c:v>
                </c:pt>
                <c:pt idx="93">
                  <c:v>#N/A</c:v>
                </c:pt>
                <c:pt idx="94">
                  <c:v>#N/A</c:v>
                </c:pt>
                <c:pt idx="95">
                  <c:v>140</c:v>
                </c:pt>
                <c:pt idx="96">
                  <c:v>136</c:v>
                </c:pt>
                <c:pt idx="97">
                  <c:v>#N/A</c:v>
                </c:pt>
                <c:pt idx="98">
                  <c:v>140</c:v>
                </c:pt>
                <c:pt idx="99">
                  <c:v>#N/A</c:v>
                </c:pt>
                <c:pt idx="100">
                  <c:v>#N/A</c:v>
                </c:pt>
                <c:pt idx="101">
                  <c:v>#N/A</c:v>
                </c:pt>
                <c:pt idx="102">
                  <c:v>14.25</c:v>
                </c:pt>
                <c:pt idx="103">
                  <c:v>#N/A</c:v>
                </c:pt>
                <c:pt idx="104">
                  <c:v>#N/A</c:v>
                </c:pt>
                <c:pt idx="105">
                  <c:v>29</c:v>
                </c:pt>
                <c:pt idx="106">
                  <c:v>#N/A</c:v>
                </c:pt>
                <c:pt idx="107">
                  <c:v>#N/A</c:v>
                </c:pt>
                <c:pt idx="108">
                  <c:v>93</c:v>
                </c:pt>
                <c:pt idx="109">
                  <c:v>#N/A</c:v>
                </c:pt>
                <c:pt idx="110">
                  <c:v>#N/A</c:v>
                </c:pt>
                <c:pt idx="111">
                  <c:v>150</c:v>
                </c:pt>
                <c:pt idx="112">
                  <c:v>#N/A</c:v>
                </c:pt>
                <c:pt idx="113">
                  <c:v>#N/A</c:v>
                </c:pt>
                <c:pt idx="114">
                  <c:v>#N/A</c:v>
                </c:pt>
                <c:pt idx="115">
                  <c:v>28.7</c:v>
                </c:pt>
                <c:pt idx="116">
                  <c:v>#N/A</c:v>
                </c:pt>
                <c:pt idx="117">
                  <c:v>#N/A</c:v>
                </c:pt>
                <c:pt idx="118">
                  <c:v>#N/A</c:v>
                </c:pt>
                <c:pt idx="119">
                  <c:v>#N/A</c:v>
                </c:pt>
                <c:pt idx="120">
                  <c:v>#N/A</c:v>
                </c:pt>
                <c:pt idx="121">
                  <c:v>#N/A</c:v>
                </c:pt>
                <c:pt idx="122">
                  <c:v>#N/A</c:v>
                </c:pt>
                <c:pt idx="123">
                  <c:v>#N/A</c:v>
                </c:pt>
                <c:pt idx="124">
                  <c:v>5</c:v>
                </c:pt>
                <c:pt idx="125">
                  <c:v>33</c:v>
                </c:pt>
                <c:pt idx="126">
                  <c:v>#N/A</c:v>
                </c:pt>
                <c:pt idx="127">
                  <c:v>#N/A</c:v>
                </c:pt>
                <c:pt idx="128">
                  <c:v>28</c:v>
                </c:pt>
                <c:pt idx="129">
                  <c:v>77</c:v>
                </c:pt>
                <c:pt idx="130">
                  <c:v>246</c:v>
                </c:pt>
                <c:pt idx="131">
                  <c:v>#N/A</c:v>
                </c:pt>
                <c:pt idx="132">
                  <c:v>#N/A</c:v>
                </c:pt>
                <c:pt idx="133">
                  <c:v>#N/A</c:v>
                </c:pt>
                <c:pt idx="134">
                  <c:v>#N/A</c:v>
                </c:pt>
                <c:pt idx="135">
                  <c:v>26.26</c:v>
                </c:pt>
                <c:pt idx="136">
                  <c:v>90</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6-D9F1-42D7-8C19-D71E4D746C4A}"/>
            </c:ext>
          </c:extLst>
        </c:ser>
        <c:ser>
          <c:idx val="1"/>
          <c:order val="1"/>
          <c:tx>
            <c:v>RX</c:v>
          </c:tx>
          <c:spPr>
            <a:ln w="25400" cap="rnd">
              <a:noFill/>
              <a:round/>
            </a:ln>
            <a:effectLst/>
          </c:spPr>
          <c:marker>
            <c:symbol val="circle"/>
            <c:size val="5"/>
            <c:spPr>
              <a:solidFill>
                <a:srgbClr val="FFC000">
                  <a:alpha val="50000"/>
                </a:srgbClr>
              </a:solidFill>
              <a:ln w="15875">
                <a:noFill/>
              </a:ln>
              <a:effectLst/>
            </c:spPr>
          </c:marker>
          <c:xVal>
            <c:numRef>
              <c:f>Plot_data_time!$M$2:$M$147</c:f>
              <c:numCache>
                <c:formatCode>m/d/yy</c:formatCode>
                <c:ptCount val="146"/>
                <c:pt idx="0">
                  <c:v>#N/A</c:v>
                </c:pt>
                <c:pt idx="1">
                  <c:v>#N/A</c:v>
                </c:pt>
                <c:pt idx="2">
                  <c:v>#N/A</c:v>
                </c:pt>
                <c:pt idx="3">
                  <c:v>40664</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42767</c:v>
                </c:pt>
                <c:pt idx="23">
                  <c:v>#N/A</c:v>
                </c:pt>
                <c:pt idx="24">
                  <c:v>#N/A</c:v>
                </c:pt>
                <c:pt idx="25">
                  <c:v>#N/A</c:v>
                </c:pt>
                <c:pt idx="26">
                  <c:v>43132</c:v>
                </c:pt>
                <c:pt idx="27">
                  <c:v>43132</c:v>
                </c:pt>
                <c:pt idx="28">
                  <c:v>#N/A</c:v>
                </c:pt>
                <c:pt idx="29">
                  <c:v>#N/A</c:v>
                </c:pt>
                <c:pt idx="30">
                  <c:v>#N/A</c:v>
                </c:pt>
                <c:pt idx="31">
                  <c:v>#N/A</c:v>
                </c:pt>
                <c:pt idx="32">
                  <c:v>#N/A</c:v>
                </c:pt>
                <c:pt idx="33">
                  <c:v>#N/A</c:v>
                </c:pt>
                <c:pt idx="34">
                  <c:v>#N/A</c:v>
                </c:pt>
                <c:pt idx="35">
                  <c:v>43344</c:v>
                </c:pt>
                <c:pt idx="36">
                  <c:v>#N/A</c:v>
                </c:pt>
                <c:pt idx="37">
                  <c:v>#N/A</c:v>
                </c:pt>
                <c:pt idx="38">
                  <c:v>43497</c:v>
                </c:pt>
                <c:pt idx="39">
                  <c:v>43497</c:v>
                </c:pt>
                <c:pt idx="40">
                  <c:v>#N/A</c:v>
                </c:pt>
                <c:pt idx="41">
                  <c:v>#N/A</c:v>
                </c:pt>
                <c:pt idx="42">
                  <c:v>43617</c:v>
                </c:pt>
                <c:pt idx="43">
                  <c:v>43617</c:v>
                </c:pt>
                <c:pt idx="44">
                  <c:v>#N/A</c:v>
                </c:pt>
                <c:pt idx="45">
                  <c:v>#N/A</c:v>
                </c:pt>
                <c:pt idx="46">
                  <c:v>#N/A</c:v>
                </c:pt>
                <c:pt idx="47">
                  <c:v>#N/A</c:v>
                </c:pt>
                <c:pt idx="48">
                  <c:v>#N/A</c:v>
                </c:pt>
                <c:pt idx="49">
                  <c:v>#N/A</c:v>
                </c:pt>
                <c:pt idx="50">
                  <c:v>#N/A</c:v>
                </c:pt>
                <c:pt idx="51">
                  <c:v>#N/A</c:v>
                </c:pt>
                <c:pt idx="52">
                  <c:v>#N/A</c:v>
                </c:pt>
                <c:pt idx="53">
                  <c:v>#N/A</c:v>
                </c:pt>
                <c:pt idx="54">
                  <c:v>44044</c:v>
                </c:pt>
                <c:pt idx="55">
                  <c:v>#N/A</c:v>
                </c:pt>
                <c:pt idx="56">
                  <c:v>#N/A</c:v>
                </c:pt>
                <c:pt idx="57">
                  <c:v>44044</c:v>
                </c:pt>
                <c:pt idx="58">
                  <c:v>#N/A</c:v>
                </c:pt>
                <c:pt idx="59">
                  <c:v>#N/A</c:v>
                </c:pt>
                <c:pt idx="60">
                  <c:v>#N/A</c:v>
                </c:pt>
                <c:pt idx="61">
                  <c:v>#N/A</c:v>
                </c:pt>
                <c:pt idx="62">
                  <c:v>44228</c:v>
                </c:pt>
                <c:pt idx="63">
                  <c:v>#N/A</c:v>
                </c:pt>
                <c:pt idx="64">
                  <c:v>#N/A</c:v>
                </c:pt>
                <c:pt idx="65">
                  <c:v>#N/A</c:v>
                </c:pt>
                <c:pt idx="66">
                  <c:v>#N/A</c:v>
                </c:pt>
                <c:pt idx="67">
                  <c:v>#N/A</c:v>
                </c:pt>
                <c:pt idx="68">
                  <c:v>#N/A</c:v>
                </c:pt>
                <c:pt idx="69">
                  <c:v>44317</c:v>
                </c:pt>
                <c:pt idx="70">
                  <c:v>#N/A</c:v>
                </c:pt>
                <c:pt idx="71">
                  <c:v>#N/A</c:v>
                </c:pt>
                <c:pt idx="72">
                  <c:v>#N/A</c:v>
                </c:pt>
                <c:pt idx="73">
                  <c:v>#N/A</c:v>
                </c:pt>
                <c:pt idx="74">
                  <c:v>44378</c:v>
                </c:pt>
                <c:pt idx="75">
                  <c:v>44409</c:v>
                </c:pt>
                <c:pt idx="76">
                  <c:v>#N/A</c:v>
                </c:pt>
                <c:pt idx="77">
                  <c:v>44501</c:v>
                </c:pt>
                <c:pt idx="78">
                  <c:v>#N/A</c:v>
                </c:pt>
                <c:pt idx="79">
                  <c:v>#N/A</c:v>
                </c:pt>
                <c:pt idx="80">
                  <c:v>#N/A</c:v>
                </c:pt>
                <c:pt idx="81">
                  <c:v>#N/A</c:v>
                </c:pt>
                <c:pt idx="82">
                  <c:v>#N/A</c:v>
                </c:pt>
                <c:pt idx="83">
                  <c:v>#N/A</c:v>
                </c:pt>
                <c:pt idx="84">
                  <c:v>#N/A</c:v>
                </c:pt>
                <c:pt idx="85">
                  <c:v>44562</c:v>
                </c:pt>
                <c:pt idx="86">
                  <c:v>44562</c:v>
                </c:pt>
                <c:pt idx="87">
                  <c:v>#N/A</c:v>
                </c:pt>
                <c:pt idx="88">
                  <c:v>#N/A</c:v>
                </c:pt>
                <c:pt idx="89">
                  <c:v>#N/A</c:v>
                </c:pt>
                <c:pt idx="90">
                  <c:v>#N/A</c:v>
                </c:pt>
                <c:pt idx="91">
                  <c:v>44593</c:v>
                </c:pt>
                <c:pt idx="92">
                  <c:v>44593</c:v>
                </c:pt>
                <c:pt idx="93">
                  <c:v>44593</c:v>
                </c:pt>
                <c:pt idx="94">
                  <c:v>#N/A</c:v>
                </c:pt>
                <c:pt idx="95">
                  <c:v>#N/A</c:v>
                </c:pt>
                <c:pt idx="96">
                  <c:v>#N/A</c:v>
                </c:pt>
                <c:pt idx="97">
                  <c:v>#N/A</c:v>
                </c:pt>
                <c:pt idx="98">
                  <c:v>#N/A</c:v>
                </c:pt>
                <c:pt idx="99">
                  <c:v>44593</c:v>
                </c:pt>
                <c:pt idx="100">
                  <c:v>#N/A</c:v>
                </c:pt>
                <c:pt idx="101">
                  <c:v>#N/A</c:v>
                </c:pt>
                <c:pt idx="102">
                  <c:v>#N/A</c:v>
                </c:pt>
                <c:pt idx="103">
                  <c:v>#N/A</c:v>
                </c:pt>
                <c:pt idx="104">
                  <c:v>#N/A</c:v>
                </c:pt>
                <c:pt idx="105">
                  <c:v>#N/A</c:v>
                </c:pt>
                <c:pt idx="106">
                  <c:v>#N/A</c:v>
                </c:pt>
                <c:pt idx="107">
                  <c:v>#N/A</c:v>
                </c:pt>
                <c:pt idx="108">
                  <c:v>#N/A</c:v>
                </c:pt>
                <c:pt idx="109">
                  <c:v>44743</c:v>
                </c:pt>
                <c:pt idx="110">
                  <c:v>#N/A</c:v>
                </c:pt>
                <c:pt idx="111">
                  <c:v>#N/A</c:v>
                </c:pt>
                <c:pt idx="112">
                  <c:v>44805</c:v>
                </c:pt>
                <c:pt idx="113">
                  <c:v>#N/A</c:v>
                </c:pt>
                <c:pt idx="114">
                  <c:v>44835</c:v>
                </c:pt>
                <c:pt idx="115">
                  <c:v>#N/A</c:v>
                </c:pt>
                <c:pt idx="116">
                  <c:v>44835</c:v>
                </c:pt>
                <c:pt idx="117">
                  <c:v>44835</c:v>
                </c:pt>
                <c:pt idx="118">
                  <c:v>44835</c:v>
                </c:pt>
                <c:pt idx="119">
                  <c:v>44835</c:v>
                </c:pt>
                <c:pt idx="120">
                  <c:v>44866</c:v>
                </c:pt>
                <c:pt idx="121">
                  <c:v>44866</c:v>
                </c:pt>
                <c:pt idx="122">
                  <c:v>#N/A</c:v>
                </c:pt>
                <c:pt idx="123">
                  <c:v>44896</c:v>
                </c:pt>
                <c:pt idx="124">
                  <c:v>#N/A</c:v>
                </c:pt>
                <c:pt idx="125">
                  <c:v>#N/A</c:v>
                </c:pt>
                <c:pt idx="126">
                  <c:v>#N/A</c:v>
                </c:pt>
                <c:pt idx="127">
                  <c:v>#N/A</c:v>
                </c:pt>
                <c:pt idx="128">
                  <c:v>#N/A</c:v>
                </c:pt>
                <c:pt idx="129">
                  <c:v>#N/A</c:v>
                </c:pt>
                <c:pt idx="130">
                  <c:v>#N/A</c:v>
                </c:pt>
                <c:pt idx="131">
                  <c:v>#N/A</c:v>
                </c:pt>
                <c:pt idx="132">
                  <c:v>44958</c:v>
                </c:pt>
                <c:pt idx="133">
                  <c:v>44958</c:v>
                </c:pt>
                <c:pt idx="134">
                  <c:v>#N/A</c:v>
                </c:pt>
                <c:pt idx="135">
                  <c:v>#N/A</c:v>
                </c:pt>
                <c:pt idx="136">
                  <c:v>#N/A</c:v>
                </c:pt>
                <c:pt idx="137">
                  <c:v>44958</c:v>
                </c:pt>
                <c:pt idx="138">
                  <c:v>#N/A</c:v>
                </c:pt>
                <c:pt idx="139">
                  <c:v>#N/A</c:v>
                </c:pt>
                <c:pt idx="140">
                  <c:v>#N/A</c:v>
                </c:pt>
                <c:pt idx="141">
                  <c:v>#N/A</c:v>
                </c:pt>
                <c:pt idx="142">
                  <c:v>#N/A</c:v>
                </c:pt>
                <c:pt idx="143">
                  <c:v>45047</c:v>
                </c:pt>
                <c:pt idx="144">
                  <c:v>#N/A</c:v>
                </c:pt>
                <c:pt idx="145">
                  <c:v>#N/A</c:v>
                </c:pt>
              </c:numCache>
            </c:numRef>
          </c:xVal>
          <c:yVal>
            <c:numRef>
              <c:f>Plot_data_time!$L$2:$L$147</c:f>
              <c:numCache>
                <c:formatCode>General</c:formatCode>
                <c:ptCount val="146"/>
                <c:pt idx="0">
                  <c:v>#N/A</c:v>
                </c:pt>
                <c:pt idx="1">
                  <c:v>#N/A</c:v>
                </c:pt>
                <c:pt idx="2">
                  <c:v>#N/A</c:v>
                </c:pt>
                <c:pt idx="3">
                  <c:v>60</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290</c:v>
                </c:pt>
                <c:pt idx="23">
                  <c:v>#N/A</c:v>
                </c:pt>
                <c:pt idx="24">
                  <c:v>#N/A</c:v>
                </c:pt>
                <c:pt idx="25">
                  <c:v>#N/A</c:v>
                </c:pt>
                <c:pt idx="26">
                  <c:v>23</c:v>
                </c:pt>
                <c:pt idx="27">
                  <c:v>30</c:v>
                </c:pt>
                <c:pt idx="28">
                  <c:v>#N/A</c:v>
                </c:pt>
                <c:pt idx="29">
                  <c:v>#N/A</c:v>
                </c:pt>
                <c:pt idx="30">
                  <c:v>#N/A</c:v>
                </c:pt>
                <c:pt idx="31">
                  <c:v>#N/A</c:v>
                </c:pt>
                <c:pt idx="32">
                  <c:v>#N/A</c:v>
                </c:pt>
                <c:pt idx="33">
                  <c:v>#N/A</c:v>
                </c:pt>
                <c:pt idx="34">
                  <c:v>#N/A</c:v>
                </c:pt>
                <c:pt idx="35">
                  <c:v>94</c:v>
                </c:pt>
                <c:pt idx="36">
                  <c:v>#N/A</c:v>
                </c:pt>
                <c:pt idx="37">
                  <c:v>#N/A</c:v>
                </c:pt>
                <c:pt idx="38">
                  <c:v>27</c:v>
                </c:pt>
                <c:pt idx="39">
                  <c:v>41</c:v>
                </c:pt>
                <c:pt idx="40">
                  <c:v>#N/A</c:v>
                </c:pt>
                <c:pt idx="41">
                  <c:v>#N/A</c:v>
                </c:pt>
                <c:pt idx="42">
                  <c:v>24.5</c:v>
                </c:pt>
                <c:pt idx="43">
                  <c:v>43</c:v>
                </c:pt>
                <c:pt idx="44">
                  <c:v>#N/A</c:v>
                </c:pt>
                <c:pt idx="45">
                  <c:v>#N/A</c:v>
                </c:pt>
                <c:pt idx="46">
                  <c:v>#N/A</c:v>
                </c:pt>
                <c:pt idx="47">
                  <c:v>#N/A</c:v>
                </c:pt>
                <c:pt idx="48">
                  <c:v>#N/A</c:v>
                </c:pt>
                <c:pt idx="49">
                  <c:v>#N/A</c:v>
                </c:pt>
                <c:pt idx="50">
                  <c:v>#N/A</c:v>
                </c:pt>
                <c:pt idx="51">
                  <c:v>#N/A</c:v>
                </c:pt>
                <c:pt idx="52">
                  <c:v>#N/A</c:v>
                </c:pt>
                <c:pt idx="53">
                  <c:v>#N/A</c:v>
                </c:pt>
                <c:pt idx="54">
                  <c:v>500</c:v>
                </c:pt>
                <c:pt idx="55">
                  <c:v>#N/A</c:v>
                </c:pt>
                <c:pt idx="56">
                  <c:v>#N/A</c:v>
                </c:pt>
                <c:pt idx="57">
                  <c:v>150</c:v>
                </c:pt>
                <c:pt idx="58">
                  <c:v>#N/A</c:v>
                </c:pt>
                <c:pt idx="59">
                  <c:v>#N/A</c:v>
                </c:pt>
                <c:pt idx="60">
                  <c:v>#N/A</c:v>
                </c:pt>
                <c:pt idx="61">
                  <c:v>#N/A</c:v>
                </c:pt>
                <c:pt idx="62">
                  <c:v>420</c:v>
                </c:pt>
                <c:pt idx="63">
                  <c:v>#N/A</c:v>
                </c:pt>
                <c:pt idx="64">
                  <c:v>#N/A</c:v>
                </c:pt>
                <c:pt idx="65">
                  <c:v>#N/A</c:v>
                </c:pt>
                <c:pt idx="66">
                  <c:v>#N/A</c:v>
                </c:pt>
                <c:pt idx="67">
                  <c:v>#N/A</c:v>
                </c:pt>
                <c:pt idx="68">
                  <c:v>#N/A</c:v>
                </c:pt>
                <c:pt idx="69">
                  <c:v>11.7</c:v>
                </c:pt>
                <c:pt idx="70">
                  <c:v>#N/A</c:v>
                </c:pt>
                <c:pt idx="71">
                  <c:v>#N/A</c:v>
                </c:pt>
                <c:pt idx="72">
                  <c:v>#N/A</c:v>
                </c:pt>
                <c:pt idx="73">
                  <c:v>#N/A</c:v>
                </c:pt>
                <c:pt idx="74">
                  <c:v>11.7</c:v>
                </c:pt>
                <c:pt idx="75">
                  <c:v>140</c:v>
                </c:pt>
                <c:pt idx="76">
                  <c:v>#N/A</c:v>
                </c:pt>
                <c:pt idx="77">
                  <c:v>11.7</c:v>
                </c:pt>
                <c:pt idx="78">
                  <c:v>#N/A</c:v>
                </c:pt>
                <c:pt idx="79">
                  <c:v>#N/A</c:v>
                </c:pt>
                <c:pt idx="80">
                  <c:v>#N/A</c:v>
                </c:pt>
                <c:pt idx="81">
                  <c:v>#N/A</c:v>
                </c:pt>
                <c:pt idx="82">
                  <c:v>#N/A</c:v>
                </c:pt>
                <c:pt idx="83">
                  <c:v>#N/A</c:v>
                </c:pt>
                <c:pt idx="84">
                  <c:v>#N/A</c:v>
                </c:pt>
                <c:pt idx="85">
                  <c:v>15</c:v>
                </c:pt>
                <c:pt idx="86">
                  <c:v>57</c:v>
                </c:pt>
                <c:pt idx="87">
                  <c:v>#N/A</c:v>
                </c:pt>
                <c:pt idx="88">
                  <c:v>#N/A</c:v>
                </c:pt>
                <c:pt idx="89">
                  <c:v>#N/A</c:v>
                </c:pt>
                <c:pt idx="90">
                  <c:v>#N/A</c:v>
                </c:pt>
                <c:pt idx="91">
                  <c:v>26</c:v>
                </c:pt>
                <c:pt idx="92">
                  <c:v>29</c:v>
                </c:pt>
                <c:pt idx="93">
                  <c:v>300</c:v>
                </c:pt>
                <c:pt idx="94">
                  <c:v>#N/A</c:v>
                </c:pt>
                <c:pt idx="95">
                  <c:v>#N/A</c:v>
                </c:pt>
                <c:pt idx="96">
                  <c:v>#N/A</c:v>
                </c:pt>
                <c:pt idx="97">
                  <c:v>#N/A</c:v>
                </c:pt>
                <c:pt idx="98">
                  <c:v>#N/A</c:v>
                </c:pt>
                <c:pt idx="99">
                  <c:v>140</c:v>
                </c:pt>
                <c:pt idx="100">
                  <c:v>#N/A</c:v>
                </c:pt>
                <c:pt idx="101">
                  <c:v>#N/A</c:v>
                </c:pt>
                <c:pt idx="102">
                  <c:v>#N/A</c:v>
                </c:pt>
                <c:pt idx="103">
                  <c:v>#N/A</c:v>
                </c:pt>
                <c:pt idx="104">
                  <c:v>#N/A</c:v>
                </c:pt>
                <c:pt idx="105">
                  <c:v>#N/A</c:v>
                </c:pt>
                <c:pt idx="106">
                  <c:v>#N/A</c:v>
                </c:pt>
                <c:pt idx="107">
                  <c:v>#N/A</c:v>
                </c:pt>
                <c:pt idx="108">
                  <c:v>#N/A</c:v>
                </c:pt>
                <c:pt idx="109">
                  <c:v>93</c:v>
                </c:pt>
                <c:pt idx="110">
                  <c:v>#N/A</c:v>
                </c:pt>
                <c:pt idx="111">
                  <c:v>#N/A</c:v>
                </c:pt>
                <c:pt idx="112">
                  <c:v>150</c:v>
                </c:pt>
                <c:pt idx="113">
                  <c:v>#N/A</c:v>
                </c:pt>
                <c:pt idx="114">
                  <c:v>18</c:v>
                </c:pt>
                <c:pt idx="115">
                  <c:v>#N/A</c:v>
                </c:pt>
                <c:pt idx="116">
                  <c:v>28</c:v>
                </c:pt>
                <c:pt idx="117">
                  <c:v>39</c:v>
                </c:pt>
                <c:pt idx="118">
                  <c:v>47.2</c:v>
                </c:pt>
                <c:pt idx="119">
                  <c:v>60.1</c:v>
                </c:pt>
                <c:pt idx="120">
                  <c:v>28</c:v>
                </c:pt>
                <c:pt idx="121">
                  <c:v>40</c:v>
                </c:pt>
                <c:pt idx="122">
                  <c:v>#N/A</c:v>
                </c:pt>
                <c:pt idx="123">
                  <c:v>20</c:v>
                </c:pt>
                <c:pt idx="124">
                  <c:v>#N/A</c:v>
                </c:pt>
                <c:pt idx="125">
                  <c:v>#N/A</c:v>
                </c:pt>
                <c:pt idx="126">
                  <c:v>#N/A</c:v>
                </c:pt>
                <c:pt idx="127">
                  <c:v>#N/A</c:v>
                </c:pt>
                <c:pt idx="128">
                  <c:v>#N/A</c:v>
                </c:pt>
                <c:pt idx="129">
                  <c:v>#N/A</c:v>
                </c:pt>
                <c:pt idx="130">
                  <c:v>#N/A</c:v>
                </c:pt>
                <c:pt idx="131">
                  <c:v>#N/A</c:v>
                </c:pt>
                <c:pt idx="132">
                  <c:v>140</c:v>
                </c:pt>
                <c:pt idx="133">
                  <c:v>28</c:v>
                </c:pt>
                <c:pt idx="134">
                  <c:v>#N/A</c:v>
                </c:pt>
                <c:pt idx="135">
                  <c:v>#N/A</c:v>
                </c:pt>
                <c:pt idx="136">
                  <c:v>#N/A</c:v>
                </c:pt>
                <c:pt idx="137">
                  <c:v>90</c:v>
                </c:pt>
                <c:pt idx="138">
                  <c:v>#N/A</c:v>
                </c:pt>
                <c:pt idx="139">
                  <c:v>#N/A</c:v>
                </c:pt>
                <c:pt idx="140">
                  <c:v>#N/A</c:v>
                </c:pt>
                <c:pt idx="141">
                  <c:v>#N/A</c:v>
                </c:pt>
                <c:pt idx="142">
                  <c:v>#N/A</c:v>
                </c:pt>
                <c:pt idx="143">
                  <c:v>30</c:v>
                </c:pt>
                <c:pt idx="144">
                  <c:v>#N/A</c:v>
                </c:pt>
                <c:pt idx="145">
                  <c:v>#N/A</c:v>
                </c:pt>
              </c:numCache>
            </c:numRef>
          </c:yVal>
          <c:smooth val="0"/>
          <c:extLst>
            <c:ext xmlns:c16="http://schemas.microsoft.com/office/drawing/2014/chart" uri="{C3380CC4-5D6E-409C-BE32-E72D297353CC}">
              <c16:uniqueId val="{00000004-D9F1-42D7-8C19-D71E4D746C4A}"/>
            </c:ext>
          </c:extLst>
        </c:ser>
        <c:ser>
          <c:idx val="2"/>
          <c:order val="2"/>
          <c:tx>
            <c:v>TRX</c:v>
          </c:tx>
          <c:spPr>
            <a:ln w="15875" cap="rnd">
              <a:noFill/>
              <a:round/>
            </a:ln>
            <a:effectLst/>
          </c:spPr>
          <c:marker>
            <c:symbol val="circle"/>
            <c:size val="7"/>
            <c:spPr>
              <a:solidFill>
                <a:srgbClr val="7030A0">
                  <a:alpha val="50000"/>
                </a:srgbClr>
              </a:solidFill>
              <a:ln w="15875">
                <a:noFill/>
              </a:ln>
              <a:effectLst/>
            </c:spPr>
          </c:marker>
          <c:xVal>
            <c:numRef>
              <c:f>Plot_data_time!$X$2:$X$147</c:f>
              <c:numCache>
                <c:formatCode>m/d/yy</c:formatCode>
                <c:ptCount val="146"/>
                <c:pt idx="0">
                  <c:v>#N/A</c:v>
                </c:pt>
                <c:pt idx="1">
                  <c:v>40575</c:v>
                </c:pt>
                <c:pt idx="2">
                  <c:v>40575</c:v>
                </c:pt>
                <c:pt idx="3">
                  <c:v>#N/A</c:v>
                </c:pt>
                <c:pt idx="4">
                  <c:v>#N/A</c:v>
                </c:pt>
                <c:pt idx="5">
                  <c:v>#N/A</c:v>
                </c:pt>
                <c:pt idx="6">
                  <c:v>#N/A</c:v>
                </c:pt>
                <c:pt idx="7">
                  <c:v>#N/A</c:v>
                </c:pt>
                <c:pt idx="8">
                  <c:v>41334</c:v>
                </c:pt>
                <c:pt idx="9">
                  <c:v>41426</c:v>
                </c:pt>
                <c:pt idx="10">
                  <c:v>41456</c:v>
                </c:pt>
                <c:pt idx="11">
                  <c:v>#N/A</c:v>
                </c:pt>
                <c:pt idx="12">
                  <c:v>#N/A</c:v>
                </c:pt>
                <c:pt idx="13">
                  <c:v>41974</c:v>
                </c:pt>
                <c:pt idx="14">
                  <c:v>42125</c:v>
                </c:pt>
                <c:pt idx="15">
                  <c:v>42125</c:v>
                </c:pt>
                <c:pt idx="16">
                  <c:v>#N/A</c:v>
                </c:pt>
                <c:pt idx="17">
                  <c:v>#N/A</c:v>
                </c:pt>
                <c:pt idx="18">
                  <c:v>#N/A</c:v>
                </c:pt>
                <c:pt idx="19">
                  <c:v>#N/A</c:v>
                </c:pt>
                <c:pt idx="20">
                  <c:v>42767</c:v>
                </c:pt>
                <c:pt idx="21">
                  <c:v>#N/A</c:v>
                </c:pt>
                <c:pt idx="22">
                  <c:v>#N/A</c:v>
                </c:pt>
                <c:pt idx="23">
                  <c:v>#N/A</c:v>
                </c:pt>
                <c:pt idx="24">
                  <c:v>43132</c:v>
                </c:pt>
                <c:pt idx="25">
                  <c:v>43132</c:v>
                </c:pt>
                <c:pt idx="26">
                  <c:v>#N/A</c:v>
                </c:pt>
                <c:pt idx="27">
                  <c:v>#N/A</c:v>
                </c:pt>
                <c:pt idx="28">
                  <c:v>43132</c:v>
                </c:pt>
                <c:pt idx="29">
                  <c:v>43132</c:v>
                </c:pt>
                <c:pt idx="30">
                  <c:v>43132</c:v>
                </c:pt>
                <c:pt idx="31">
                  <c:v>43132</c:v>
                </c:pt>
                <c:pt idx="32">
                  <c:v>#N/A</c:v>
                </c:pt>
                <c:pt idx="33">
                  <c:v>43313</c:v>
                </c:pt>
                <c:pt idx="34">
                  <c:v>#N/A</c:v>
                </c:pt>
                <c:pt idx="35">
                  <c:v>#N/A</c:v>
                </c:pt>
                <c:pt idx="36">
                  <c:v>#N/A</c:v>
                </c:pt>
                <c:pt idx="37">
                  <c:v>43497</c:v>
                </c:pt>
                <c:pt idx="38">
                  <c:v>#N/A</c:v>
                </c:pt>
                <c:pt idx="39">
                  <c:v>#N/A</c:v>
                </c:pt>
                <c:pt idx="40">
                  <c:v>43497</c:v>
                </c:pt>
                <c:pt idx="41">
                  <c:v>43497</c:v>
                </c:pt>
                <c:pt idx="42">
                  <c:v>#N/A</c:v>
                </c:pt>
                <c:pt idx="43">
                  <c:v>#N/A</c:v>
                </c:pt>
                <c:pt idx="44">
                  <c:v>43617</c:v>
                </c:pt>
                <c:pt idx="45">
                  <c:v>43709</c:v>
                </c:pt>
                <c:pt idx="46">
                  <c:v>#N/A</c:v>
                </c:pt>
                <c:pt idx="47">
                  <c:v>#N/A</c:v>
                </c:pt>
                <c:pt idx="48">
                  <c:v>#N/A</c:v>
                </c:pt>
                <c:pt idx="49">
                  <c:v>#N/A</c:v>
                </c:pt>
                <c:pt idx="50">
                  <c:v>#N/A</c:v>
                </c:pt>
                <c:pt idx="51">
                  <c:v>44044</c:v>
                </c:pt>
                <c:pt idx="52">
                  <c:v>44044</c:v>
                </c:pt>
                <c:pt idx="53">
                  <c:v>44044</c:v>
                </c:pt>
                <c:pt idx="54">
                  <c:v>#N/A</c:v>
                </c:pt>
                <c:pt idx="55">
                  <c:v>#N/A</c:v>
                </c:pt>
                <c:pt idx="56">
                  <c:v>#N/A</c:v>
                </c:pt>
                <c:pt idx="57">
                  <c:v>#N/A</c:v>
                </c:pt>
                <c:pt idx="58">
                  <c:v>44075</c:v>
                </c:pt>
                <c:pt idx="59">
                  <c:v>44197</c:v>
                </c:pt>
                <c:pt idx="60">
                  <c:v>44197</c:v>
                </c:pt>
                <c:pt idx="61">
                  <c:v>#N/A</c:v>
                </c:pt>
                <c:pt idx="62">
                  <c:v>#N/A</c:v>
                </c:pt>
                <c:pt idx="63">
                  <c:v>#N/A</c:v>
                </c:pt>
                <c:pt idx="64">
                  <c:v>44228</c:v>
                </c:pt>
                <c:pt idx="65">
                  <c:v>#N/A</c:v>
                </c:pt>
                <c:pt idx="66">
                  <c:v>#N/A</c:v>
                </c:pt>
                <c:pt idx="67">
                  <c:v>44228</c:v>
                </c:pt>
                <c:pt idx="68">
                  <c:v>#N/A</c:v>
                </c:pt>
                <c:pt idx="69">
                  <c:v>#N/A</c:v>
                </c:pt>
                <c:pt idx="70">
                  <c:v>#N/A</c:v>
                </c:pt>
                <c:pt idx="71">
                  <c:v>#N/A</c:v>
                </c:pt>
                <c:pt idx="72">
                  <c:v>44348</c:v>
                </c:pt>
                <c:pt idx="73">
                  <c:v>44348</c:v>
                </c:pt>
                <c:pt idx="74">
                  <c:v>#N/A</c:v>
                </c:pt>
                <c:pt idx="75">
                  <c:v>#N/A</c:v>
                </c:pt>
                <c:pt idx="76">
                  <c:v>#N/A</c:v>
                </c:pt>
                <c:pt idx="77">
                  <c:v>#N/A</c:v>
                </c:pt>
                <c:pt idx="78">
                  <c:v>#N/A</c:v>
                </c:pt>
                <c:pt idx="79">
                  <c:v>#N/A</c:v>
                </c:pt>
                <c:pt idx="80">
                  <c:v>#N/A</c:v>
                </c:pt>
                <c:pt idx="81">
                  <c:v>#N/A</c:v>
                </c:pt>
                <c:pt idx="82">
                  <c:v>#N/A</c:v>
                </c:pt>
                <c:pt idx="83">
                  <c:v>44562</c:v>
                </c:pt>
                <c:pt idx="84">
                  <c:v>#N/A</c:v>
                </c:pt>
                <c:pt idx="85">
                  <c:v>#N/A</c:v>
                </c:pt>
                <c:pt idx="86">
                  <c:v>#N/A</c:v>
                </c:pt>
                <c:pt idx="87">
                  <c:v>#N/A</c:v>
                </c:pt>
                <c:pt idx="88">
                  <c:v>44593</c:v>
                </c:pt>
                <c:pt idx="89">
                  <c:v>44593</c:v>
                </c:pt>
                <c:pt idx="90">
                  <c:v>44593</c:v>
                </c:pt>
                <c:pt idx="91">
                  <c:v>#N/A</c:v>
                </c:pt>
                <c:pt idx="92">
                  <c:v>#N/A</c:v>
                </c:pt>
                <c:pt idx="93">
                  <c:v>#N/A</c:v>
                </c:pt>
                <c:pt idx="94">
                  <c:v>#N/A</c:v>
                </c:pt>
                <c:pt idx="95">
                  <c:v>#N/A</c:v>
                </c:pt>
                <c:pt idx="96">
                  <c:v>#N/A</c:v>
                </c:pt>
                <c:pt idx="97">
                  <c:v>#N/A</c:v>
                </c:pt>
                <c:pt idx="98">
                  <c:v>#N/A</c:v>
                </c:pt>
                <c:pt idx="99">
                  <c:v>#N/A</c:v>
                </c:pt>
                <c:pt idx="100">
                  <c:v>44682</c:v>
                </c:pt>
                <c:pt idx="101">
                  <c:v>#N/A</c:v>
                </c:pt>
                <c:pt idx="102">
                  <c:v>#N/A</c:v>
                </c:pt>
                <c:pt idx="103">
                  <c:v>44713</c:v>
                </c:pt>
                <c:pt idx="104">
                  <c:v>44713</c:v>
                </c:pt>
                <c:pt idx="105">
                  <c:v>#N/A</c:v>
                </c:pt>
                <c:pt idx="106">
                  <c:v>#N/A</c:v>
                </c:pt>
                <c:pt idx="107">
                  <c:v>#N/A</c:v>
                </c:pt>
                <c:pt idx="108">
                  <c:v>#N/A</c:v>
                </c:pt>
                <c:pt idx="109">
                  <c:v>#N/A</c:v>
                </c:pt>
                <c:pt idx="110">
                  <c:v>44805</c:v>
                </c:pt>
                <c:pt idx="111">
                  <c:v>#N/A</c:v>
                </c:pt>
                <c:pt idx="112">
                  <c:v>#N/A</c:v>
                </c:pt>
                <c:pt idx="113">
                  <c:v>44805</c:v>
                </c:pt>
                <c:pt idx="114">
                  <c:v>#N/A</c:v>
                </c:pt>
                <c:pt idx="115">
                  <c:v>#N/A</c:v>
                </c:pt>
                <c:pt idx="116">
                  <c:v>#N/A</c:v>
                </c:pt>
                <c:pt idx="117">
                  <c:v>#N/A</c:v>
                </c:pt>
                <c:pt idx="118">
                  <c:v>#N/A</c:v>
                </c:pt>
                <c:pt idx="119">
                  <c:v>#N/A</c:v>
                </c:pt>
                <c:pt idx="120">
                  <c:v>#N/A</c:v>
                </c:pt>
                <c:pt idx="121">
                  <c:v>#N/A</c:v>
                </c:pt>
                <c:pt idx="122">
                  <c:v>44866</c:v>
                </c:pt>
                <c:pt idx="123">
                  <c:v>#N/A</c:v>
                </c:pt>
                <c:pt idx="124">
                  <c:v>#N/A</c:v>
                </c:pt>
                <c:pt idx="125">
                  <c:v>#N/A</c:v>
                </c:pt>
                <c:pt idx="126">
                  <c:v>44927</c:v>
                </c:pt>
                <c:pt idx="127">
                  <c:v>44927</c:v>
                </c:pt>
                <c:pt idx="128">
                  <c:v>#N/A</c:v>
                </c:pt>
                <c:pt idx="129">
                  <c:v>#N/A</c:v>
                </c:pt>
                <c:pt idx="130">
                  <c:v>#N/A</c:v>
                </c:pt>
                <c:pt idx="131">
                  <c:v>#N/A</c:v>
                </c:pt>
                <c:pt idx="132">
                  <c:v>#N/A</c:v>
                </c:pt>
                <c:pt idx="133">
                  <c:v>#N/A</c:v>
                </c:pt>
                <c:pt idx="134">
                  <c:v>#N/A</c:v>
                </c:pt>
                <c:pt idx="135">
                  <c:v>#N/A</c:v>
                </c:pt>
                <c:pt idx="136">
                  <c:v>#N/A</c:v>
                </c:pt>
                <c:pt idx="137">
                  <c:v>#N/A</c:v>
                </c:pt>
                <c:pt idx="138">
                  <c:v>#N/A</c:v>
                </c:pt>
                <c:pt idx="139">
                  <c:v>44986</c:v>
                </c:pt>
                <c:pt idx="140">
                  <c:v>44986</c:v>
                </c:pt>
                <c:pt idx="141">
                  <c:v>44986</c:v>
                </c:pt>
                <c:pt idx="142">
                  <c:v>#N/A</c:v>
                </c:pt>
                <c:pt idx="143">
                  <c:v>#N/A</c:v>
                </c:pt>
                <c:pt idx="144">
                  <c:v>45078</c:v>
                </c:pt>
                <c:pt idx="145">
                  <c:v>#N/A</c:v>
                </c:pt>
              </c:numCache>
            </c:numRef>
          </c:xVal>
          <c:yVal>
            <c:numRef>
              <c:f>Plot_data_time!$W$2:$W$147</c:f>
              <c:numCache>
                <c:formatCode>General</c:formatCode>
                <c:ptCount val="146"/>
                <c:pt idx="0">
                  <c:v>#N/A</c:v>
                </c:pt>
                <c:pt idx="1">
                  <c:v>60</c:v>
                </c:pt>
                <c:pt idx="2">
                  <c:v>60</c:v>
                </c:pt>
                <c:pt idx="3">
                  <c:v>#N/A</c:v>
                </c:pt>
                <c:pt idx="4">
                  <c:v>#N/A</c:v>
                </c:pt>
                <c:pt idx="5">
                  <c:v>#N/A</c:v>
                </c:pt>
                <c:pt idx="6">
                  <c:v>#N/A</c:v>
                </c:pt>
                <c:pt idx="7">
                  <c:v>#N/A</c:v>
                </c:pt>
                <c:pt idx="8">
                  <c:v>60</c:v>
                </c:pt>
                <c:pt idx="9">
                  <c:v>92</c:v>
                </c:pt>
                <c:pt idx="10">
                  <c:v>97</c:v>
                </c:pt>
                <c:pt idx="11">
                  <c:v>#N/A</c:v>
                </c:pt>
                <c:pt idx="12">
                  <c:v>#N/A</c:v>
                </c:pt>
                <c:pt idx="13">
                  <c:v>60</c:v>
                </c:pt>
                <c:pt idx="14">
                  <c:v>70</c:v>
                </c:pt>
                <c:pt idx="15">
                  <c:v>85</c:v>
                </c:pt>
                <c:pt idx="16">
                  <c:v>#N/A</c:v>
                </c:pt>
                <c:pt idx="17">
                  <c:v>#N/A</c:v>
                </c:pt>
                <c:pt idx="18">
                  <c:v>#N/A</c:v>
                </c:pt>
                <c:pt idx="19">
                  <c:v>#N/A</c:v>
                </c:pt>
                <c:pt idx="20">
                  <c:v>28</c:v>
                </c:pt>
                <c:pt idx="21">
                  <c:v>#N/A</c:v>
                </c:pt>
                <c:pt idx="22">
                  <c:v>#N/A</c:v>
                </c:pt>
                <c:pt idx="23">
                  <c:v>#N/A</c:v>
                </c:pt>
                <c:pt idx="24">
                  <c:v>70</c:v>
                </c:pt>
                <c:pt idx="25">
                  <c:v>105</c:v>
                </c:pt>
                <c:pt idx="26">
                  <c:v>#N/A</c:v>
                </c:pt>
                <c:pt idx="27">
                  <c:v>#N/A</c:v>
                </c:pt>
                <c:pt idx="28">
                  <c:v>28</c:v>
                </c:pt>
                <c:pt idx="29">
                  <c:v>60</c:v>
                </c:pt>
                <c:pt idx="30">
                  <c:v>80</c:v>
                </c:pt>
                <c:pt idx="31">
                  <c:v>90</c:v>
                </c:pt>
                <c:pt idx="32">
                  <c:v>#N/A</c:v>
                </c:pt>
                <c:pt idx="33">
                  <c:v>28</c:v>
                </c:pt>
                <c:pt idx="34">
                  <c:v>#N/A</c:v>
                </c:pt>
                <c:pt idx="35">
                  <c:v>#N/A</c:v>
                </c:pt>
                <c:pt idx="36">
                  <c:v>#N/A</c:v>
                </c:pt>
                <c:pt idx="37">
                  <c:v>145</c:v>
                </c:pt>
                <c:pt idx="38">
                  <c:v>#N/A</c:v>
                </c:pt>
                <c:pt idx="39">
                  <c:v>#N/A</c:v>
                </c:pt>
                <c:pt idx="40">
                  <c:v>73</c:v>
                </c:pt>
                <c:pt idx="41">
                  <c:v>265.68</c:v>
                </c:pt>
                <c:pt idx="42">
                  <c:v>#N/A</c:v>
                </c:pt>
                <c:pt idx="43">
                  <c:v>#N/A</c:v>
                </c:pt>
                <c:pt idx="44">
                  <c:v>39</c:v>
                </c:pt>
                <c:pt idx="45">
                  <c:v>90</c:v>
                </c:pt>
                <c:pt idx="46">
                  <c:v>#N/A</c:v>
                </c:pt>
                <c:pt idx="47">
                  <c:v>#N/A</c:v>
                </c:pt>
                <c:pt idx="48">
                  <c:v>#N/A</c:v>
                </c:pt>
                <c:pt idx="49">
                  <c:v>#N/A</c:v>
                </c:pt>
                <c:pt idx="50">
                  <c:v>#N/A</c:v>
                </c:pt>
                <c:pt idx="51">
                  <c:v>75</c:v>
                </c:pt>
                <c:pt idx="52">
                  <c:v>135</c:v>
                </c:pt>
                <c:pt idx="53">
                  <c:v>150</c:v>
                </c:pt>
                <c:pt idx="54">
                  <c:v>#N/A</c:v>
                </c:pt>
                <c:pt idx="55">
                  <c:v>#N/A</c:v>
                </c:pt>
                <c:pt idx="56">
                  <c:v>#N/A</c:v>
                </c:pt>
                <c:pt idx="57">
                  <c:v>#N/A</c:v>
                </c:pt>
                <c:pt idx="58">
                  <c:v>28</c:v>
                </c:pt>
                <c:pt idx="59">
                  <c:v>28</c:v>
                </c:pt>
                <c:pt idx="60">
                  <c:v>29.5</c:v>
                </c:pt>
                <c:pt idx="61">
                  <c:v>#N/A</c:v>
                </c:pt>
                <c:pt idx="62">
                  <c:v>#N/A</c:v>
                </c:pt>
                <c:pt idx="63">
                  <c:v>#N/A</c:v>
                </c:pt>
                <c:pt idx="64">
                  <c:v>256</c:v>
                </c:pt>
                <c:pt idx="65">
                  <c:v>#N/A</c:v>
                </c:pt>
                <c:pt idx="66">
                  <c:v>#N/A</c:v>
                </c:pt>
                <c:pt idx="67">
                  <c:v>378</c:v>
                </c:pt>
                <c:pt idx="68">
                  <c:v>#N/A</c:v>
                </c:pt>
                <c:pt idx="69">
                  <c:v>#N/A</c:v>
                </c:pt>
                <c:pt idx="70">
                  <c:v>#N/A</c:v>
                </c:pt>
                <c:pt idx="71">
                  <c:v>#N/A</c:v>
                </c:pt>
                <c:pt idx="72">
                  <c:v>19</c:v>
                </c:pt>
                <c:pt idx="73">
                  <c:v>27</c:v>
                </c:pt>
                <c:pt idx="74">
                  <c:v>#N/A</c:v>
                </c:pt>
                <c:pt idx="75">
                  <c:v>#N/A</c:v>
                </c:pt>
                <c:pt idx="76">
                  <c:v>#N/A</c:v>
                </c:pt>
                <c:pt idx="77">
                  <c:v>#N/A</c:v>
                </c:pt>
                <c:pt idx="78">
                  <c:v>#N/A</c:v>
                </c:pt>
                <c:pt idx="79">
                  <c:v>#N/A</c:v>
                </c:pt>
                <c:pt idx="80">
                  <c:v>#N/A</c:v>
                </c:pt>
                <c:pt idx="81">
                  <c:v>#N/A</c:v>
                </c:pt>
                <c:pt idx="82">
                  <c:v>#N/A</c:v>
                </c:pt>
                <c:pt idx="83">
                  <c:v>310</c:v>
                </c:pt>
                <c:pt idx="84">
                  <c:v>#N/A</c:v>
                </c:pt>
                <c:pt idx="85">
                  <c:v>#N/A</c:v>
                </c:pt>
                <c:pt idx="86">
                  <c:v>#N/A</c:v>
                </c:pt>
                <c:pt idx="87">
                  <c:v>#N/A</c:v>
                </c:pt>
                <c:pt idx="88">
                  <c:v>140</c:v>
                </c:pt>
                <c:pt idx="89">
                  <c:v>28</c:v>
                </c:pt>
                <c:pt idx="90">
                  <c:v>39</c:v>
                </c:pt>
                <c:pt idx="91">
                  <c:v>#N/A</c:v>
                </c:pt>
                <c:pt idx="92">
                  <c:v>#N/A</c:v>
                </c:pt>
                <c:pt idx="93">
                  <c:v>#N/A</c:v>
                </c:pt>
                <c:pt idx="94">
                  <c:v>#N/A</c:v>
                </c:pt>
                <c:pt idx="95">
                  <c:v>#N/A</c:v>
                </c:pt>
                <c:pt idx="96">
                  <c:v>#N/A</c:v>
                </c:pt>
                <c:pt idx="97">
                  <c:v>#N/A</c:v>
                </c:pt>
                <c:pt idx="98">
                  <c:v>#N/A</c:v>
                </c:pt>
                <c:pt idx="99">
                  <c:v>#N/A</c:v>
                </c:pt>
                <c:pt idx="100">
                  <c:v>27</c:v>
                </c:pt>
                <c:pt idx="101">
                  <c:v>#N/A</c:v>
                </c:pt>
                <c:pt idx="102">
                  <c:v>#N/A</c:v>
                </c:pt>
                <c:pt idx="103">
                  <c:v>28</c:v>
                </c:pt>
                <c:pt idx="104">
                  <c:v>39</c:v>
                </c:pt>
                <c:pt idx="105">
                  <c:v>#N/A</c:v>
                </c:pt>
                <c:pt idx="106">
                  <c:v>#N/A</c:v>
                </c:pt>
                <c:pt idx="107">
                  <c:v>#N/A</c:v>
                </c:pt>
                <c:pt idx="108">
                  <c:v>#N/A</c:v>
                </c:pt>
                <c:pt idx="109">
                  <c:v>#N/A</c:v>
                </c:pt>
                <c:pt idx="110">
                  <c:v>27</c:v>
                </c:pt>
                <c:pt idx="111">
                  <c:v>#N/A</c:v>
                </c:pt>
                <c:pt idx="112">
                  <c:v>#N/A</c:v>
                </c:pt>
                <c:pt idx="113">
                  <c:v>28</c:v>
                </c:pt>
                <c:pt idx="114">
                  <c:v>#N/A</c:v>
                </c:pt>
                <c:pt idx="115">
                  <c:v>#N/A</c:v>
                </c:pt>
                <c:pt idx="116">
                  <c:v>#N/A</c:v>
                </c:pt>
                <c:pt idx="117">
                  <c:v>#N/A</c:v>
                </c:pt>
                <c:pt idx="118">
                  <c:v>#N/A</c:v>
                </c:pt>
                <c:pt idx="119">
                  <c:v>#N/A</c:v>
                </c:pt>
                <c:pt idx="120">
                  <c:v>#N/A</c:v>
                </c:pt>
                <c:pt idx="121">
                  <c:v>#N/A</c:v>
                </c:pt>
                <c:pt idx="122">
                  <c:v>28</c:v>
                </c:pt>
                <c:pt idx="123">
                  <c:v>#N/A</c:v>
                </c:pt>
                <c:pt idx="124">
                  <c:v>#N/A</c:v>
                </c:pt>
                <c:pt idx="125">
                  <c:v>#N/A</c:v>
                </c:pt>
                <c:pt idx="126">
                  <c:v>39</c:v>
                </c:pt>
                <c:pt idx="127">
                  <c:v>141</c:v>
                </c:pt>
                <c:pt idx="128">
                  <c:v>#N/A</c:v>
                </c:pt>
                <c:pt idx="129">
                  <c:v>#N/A</c:v>
                </c:pt>
                <c:pt idx="130">
                  <c:v>#N/A</c:v>
                </c:pt>
                <c:pt idx="131">
                  <c:v>#N/A</c:v>
                </c:pt>
                <c:pt idx="132">
                  <c:v>#N/A</c:v>
                </c:pt>
                <c:pt idx="133">
                  <c:v>#N/A</c:v>
                </c:pt>
                <c:pt idx="134">
                  <c:v>#N/A</c:v>
                </c:pt>
                <c:pt idx="135">
                  <c:v>#N/A</c:v>
                </c:pt>
                <c:pt idx="136">
                  <c:v>#N/A</c:v>
                </c:pt>
                <c:pt idx="137">
                  <c:v>#N/A</c:v>
                </c:pt>
                <c:pt idx="138">
                  <c:v>#N/A</c:v>
                </c:pt>
                <c:pt idx="139">
                  <c:v>35</c:v>
                </c:pt>
                <c:pt idx="140">
                  <c:v>5.8</c:v>
                </c:pt>
                <c:pt idx="141">
                  <c:v>39</c:v>
                </c:pt>
                <c:pt idx="142">
                  <c:v>#N/A</c:v>
                </c:pt>
                <c:pt idx="143">
                  <c:v>#N/A</c:v>
                </c:pt>
                <c:pt idx="144">
                  <c:v>140</c:v>
                </c:pt>
                <c:pt idx="145">
                  <c:v>#N/A</c:v>
                </c:pt>
              </c:numCache>
            </c:numRef>
          </c:yVal>
          <c:smooth val="0"/>
          <c:extLst>
            <c:ext xmlns:c16="http://schemas.microsoft.com/office/drawing/2014/chart" uri="{C3380CC4-5D6E-409C-BE32-E72D297353CC}">
              <c16:uniqueId val="{00000005-D9F1-42D7-8C19-D71E4D746C4A}"/>
            </c:ext>
          </c:extLst>
        </c:ser>
        <c:ser>
          <c:idx val="3"/>
          <c:order val="3"/>
          <c:tx>
            <c:v>Oscillator</c:v>
          </c:tx>
          <c:spPr>
            <a:ln w="25400" cap="rnd">
              <a:noFill/>
              <a:round/>
            </a:ln>
            <a:effectLst/>
          </c:spPr>
          <c:marker>
            <c:symbol val="circle"/>
            <c:size val="7"/>
            <c:spPr>
              <a:solidFill>
                <a:srgbClr val="00B050">
                  <a:alpha val="50000"/>
                </a:srgbClr>
              </a:solidFill>
              <a:ln w="9525">
                <a:noFill/>
              </a:ln>
              <a:effectLst/>
            </c:spPr>
          </c:marker>
          <c:xVal>
            <c:numRef>
              <c:f>Plot_data_time!$AI$2:$AI$147</c:f>
              <c:numCache>
                <c:formatCode>m/d/yy</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41671</c:v>
                </c:pt>
                <c:pt idx="13">
                  <c:v>#N/A</c:v>
                </c:pt>
                <c:pt idx="14">
                  <c:v>#N/A</c:v>
                </c:pt>
                <c:pt idx="15">
                  <c:v>#N/A</c:v>
                </c:pt>
                <c:pt idx="16">
                  <c:v>#N/A</c:v>
                </c:pt>
                <c:pt idx="17">
                  <c:v>#N/A</c:v>
                </c:pt>
                <c:pt idx="18">
                  <c:v>#N/A</c:v>
                </c:pt>
                <c:pt idx="19">
                  <c:v>#N/A</c:v>
                </c:pt>
                <c:pt idx="20">
                  <c:v>#N/A</c:v>
                </c:pt>
                <c:pt idx="21">
                  <c:v>#N/A</c:v>
                </c:pt>
                <c:pt idx="22">
                  <c:v>#N/A</c:v>
                </c:pt>
                <c:pt idx="23">
                  <c:v>42826</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43862</c:v>
                </c:pt>
                <c:pt idx="47">
                  <c:v>43862</c:v>
                </c:pt>
                <c:pt idx="48">
                  <c:v>43862</c:v>
                </c:pt>
                <c:pt idx="49">
                  <c:v>43862</c:v>
                </c:pt>
                <c:pt idx="50">
                  <c:v>43862</c:v>
                </c:pt>
                <c:pt idx="51">
                  <c:v>#N/A</c:v>
                </c:pt>
                <c:pt idx="52">
                  <c:v>#N/A</c:v>
                </c:pt>
                <c:pt idx="53">
                  <c:v>#N/A</c:v>
                </c:pt>
                <c:pt idx="54">
                  <c:v>#N/A</c:v>
                </c:pt>
                <c:pt idx="55">
                  <c:v>#N/A</c:v>
                </c:pt>
                <c:pt idx="56">
                  <c:v>#N/A</c:v>
                </c:pt>
                <c:pt idx="57">
                  <c:v>#N/A</c:v>
                </c:pt>
                <c:pt idx="58">
                  <c:v>#N/A</c:v>
                </c:pt>
                <c:pt idx="59">
                  <c:v>#N/A</c:v>
                </c:pt>
                <c:pt idx="60">
                  <c:v>#N/A</c:v>
                </c:pt>
                <c:pt idx="61">
                  <c:v>#N/A</c:v>
                </c:pt>
                <c:pt idx="62">
                  <c:v>#N/A</c:v>
                </c:pt>
                <c:pt idx="63">
                  <c:v>44228</c:v>
                </c:pt>
                <c:pt idx="64">
                  <c:v>#N/A</c:v>
                </c:pt>
                <c:pt idx="65">
                  <c:v>44228</c:v>
                </c:pt>
                <c:pt idx="66">
                  <c:v>44228</c:v>
                </c:pt>
                <c:pt idx="67">
                  <c:v>#N/A</c:v>
                </c:pt>
                <c:pt idx="68">
                  <c:v>#N/A</c:v>
                </c:pt>
                <c:pt idx="69">
                  <c:v>#N/A</c:v>
                </c:pt>
                <c:pt idx="70">
                  <c:v>#N/A</c:v>
                </c:pt>
                <c:pt idx="71">
                  <c:v>#N/A</c:v>
                </c:pt>
                <c:pt idx="72">
                  <c:v>#N/A</c:v>
                </c:pt>
                <c:pt idx="73">
                  <c:v>#N/A</c:v>
                </c:pt>
                <c:pt idx="74">
                  <c:v>#N/A</c:v>
                </c:pt>
                <c:pt idx="75">
                  <c:v>#N/A</c:v>
                </c:pt>
                <c:pt idx="76">
                  <c:v>#N/A</c:v>
                </c:pt>
                <c:pt idx="77">
                  <c:v>#N/A</c:v>
                </c:pt>
                <c:pt idx="78">
                  <c:v>44531</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44593</c:v>
                </c:pt>
                <c:pt idx="95">
                  <c:v>#N/A</c:v>
                </c:pt>
                <c:pt idx="96">
                  <c:v>#N/A</c:v>
                </c:pt>
                <c:pt idx="97">
                  <c:v>#N/A</c:v>
                </c:pt>
                <c:pt idx="98">
                  <c:v>#N/A</c:v>
                </c:pt>
                <c:pt idx="99">
                  <c:v>#N/A</c:v>
                </c:pt>
                <c:pt idx="100">
                  <c:v>#N/A</c:v>
                </c:pt>
                <c:pt idx="101">
                  <c:v>44713</c:v>
                </c:pt>
                <c:pt idx="102">
                  <c:v>#N/A</c:v>
                </c:pt>
                <c:pt idx="103">
                  <c:v>#N/A</c:v>
                </c:pt>
                <c:pt idx="104">
                  <c:v>#N/A</c:v>
                </c:pt>
                <c:pt idx="105">
                  <c:v>#N/A</c:v>
                </c:pt>
                <c:pt idx="106">
                  <c:v>44743</c:v>
                </c:pt>
                <c:pt idx="107">
                  <c:v>44743</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44958</c:v>
                </c:pt>
                <c:pt idx="132">
                  <c:v>#N/A</c:v>
                </c:pt>
                <c:pt idx="133">
                  <c:v>#N/A</c:v>
                </c:pt>
                <c:pt idx="134">
                  <c:v>44958</c:v>
                </c:pt>
                <c:pt idx="135">
                  <c:v>#N/A</c:v>
                </c:pt>
                <c:pt idx="136">
                  <c:v>#N/A</c:v>
                </c:pt>
                <c:pt idx="137">
                  <c:v>#N/A</c:v>
                </c:pt>
                <c:pt idx="138">
                  <c:v>#N/A</c:v>
                </c:pt>
                <c:pt idx="139">
                  <c:v>#N/A</c:v>
                </c:pt>
                <c:pt idx="140">
                  <c:v>#N/A</c:v>
                </c:pt>
                <c:pt idx="141">
                  <c:v>#N/A</c:v>
                </c:pt>
                <c:pt idx="142">
                  <c:v>#N/A</c:v>
                </c:pt>
                <c:pt idx="143">
                  <c:v>#N/A</c:v>
                </c:pt>
                <c:pt idx="144">
                  <c:v>#N/A</c:v>
                </c:pt>
                <c:pt idx="145">
                  <c:v>#N/A</c:v>
                </c:pt>
              </c:numCache>
            </c:numRef>
          </c:xVal>
          <c:yVal>
            <c:numRef>
              <c:f>Plot_data_time!$AH$2:$AH$147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338</c:v>
                </c:pt>
                <c:pt idx="13">
                  <c:v>#N/A</c:v>
                </c:pt>
                <c:pt idx="14">
                  <c:v>#N/A</c:v>
                </c:pt>
                <c:pt idx="15">
                  <c:v>#N/A</c:v>
                </c:pt>
                <c:pt idx="16">
                  <c:v>#N/A</c:v>
                </c:pt>
                <c:pt idx="17">
                  <c:v>#N/A</c:v>
                </c:pt>
                <c:pt idx="18">
                  <c:v>#N/A</c:v>
                </c:pt>
                <c:pt idx="19">
                  <c:v>#N/A</c:v>
                </c:pt>
                <c:pt idx="20">
                  <c:v>#N/A</c:v>
                </c:pt>
                <c:pt idx="21">
                  <c:v>#N/A</c:v>
                </c:pt>
                <c:pt idx="22">
                  <c:v>#N/A</c:v>
                </c:pt>
                <c:pt idx="23">
                  <c:v>320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420</c:v>
                </c:pt>
                <c:pt idx="47">
                  <c:v>586.70000000000005</c:v>
                </c:pt>
                <c:pt idx="48">
                  <c:v>416</c:v>
                </c:pt>
                <c:pt idx="49">
                  <c:v>490</c:v>
                </c:pt>
                <c:pt idx="50">
                  <c:v>670</c:v>
                </c:pt>
                <c:pt idx="51">
                  <c:v>#N/A</c:v>
                </c:pt>
                <c:pt idx="52">
                  <c:v>#N/A</c:v>
                </c:pt>
                <c:pt idx="53">
                  <c:v>#N/A</c:v>
                </c:pt>
                <c:pt idx="54">
                  <c:v>#N/A</c:v>
                </c:pt>
                <c:pt idx="55">
                  <c:v>#N/A</c:v>
                </c:pt>
                <c:pt idx="56">
                  <c:v>#N/A</c:v>
                </c:pt>
                <c:pt idx="57">
                  <c:v>#N/A</c:v>
                </c:pt>
                <c:pt idx="58">
                  <c:v>#N/A</c:v>
                </c:pt>
                <c:pt idx="59">
                  <c:v>#N/A</c:v>
                </c:pt>
                <c:pt idx="60">
                  <c:v>#N/A</c:v>
                </c:pt>
                <c:pt idx="61">
                  <c:v>#N/A</c:v>
                </c:pt>
                <c:pt idx="62">
                  <c:v>#N/A</c:v>
                </c:pt>
                <c:pt idx="63">
                  <c:v>245</c:v>
                </c:pt>
                <c:pt idx="64">
                  <c:v>#N/A</c:v>
                </c:pt>
                <c:pt idx="65">
                  <c:v>450</c:v>
                </c:pt>
                <c:pt idx="66">
                  <c:v>605</c:v>
                </c:pt>
                <c:pt idx="67">
                  <c:v>#N/A</c:v>
                </c:pt>
                <c:pt idx="68">
                  <c:v>#N/A</c:v>
                </c:pt>
                <c:pt idx="69">
                  <c:v>#N/A</c:v>
                </c:pt>
                <c:pt idx="70">
                  <c:v>#N/A</c:v>
                </c:pt>
                <c:pt idx="71">
                  <c:v>#N/A</c:v>
                </c:pt>
                <c:pt idx="72">
                  <c:v>#N/A</c:v>
                </c:pt>
                <c:pt idx="73">
                  <c:v>#N/A</c:v>
                </c:pt>
                <c:pt idx="74">
                  <c:v>#N/A</c:v>
                </c:pt>
                <c:pt idx="75">
                  <c:v>#N/A</c:v>
                </c:pt>
                <c:pt idx="76">
                  <c:v>#N/A</c:v>
                </c:pt>
                <c:pt idx="77">
                  <c:v>#N/A</c:v>
                </c:pt>
                <c:pt idx="78">
                  <c:v>450</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431</c:v>
                </c:pt>
                <c:pt idx="95">
                  <c:v>#N/A</c:v>
                </c:pt>
                <c:pt idx="96">
                  <c:v>#N/A</c:v>
                </c:pt>
                <c:pt idx="97">
                  <c:v>#N/A</c:v>
                </c:pt>
                <c:pt idx="98">
                  <c:v>#N/A</c:v>
                </c:pt>
                <c:pt idx="99">
                  <c:v>#N/A</c:v>
                </c:pt>
                <c:pt idx="100">
                  <c:v>#N/A</c:v>
                </c:pt>
                <c:pt idx="101">
                  <c:v>694</c:v>
                </c:pt>
                <c:pt idx="102">
                  <c:v>#N/A</c:v>
                </c:pt>
                <c:pt idx="103">
                  <c:v>#N/A</c:v>
                </c:pt>
                <c:pt idx="104">
                  <c:v>#N/A</c:v>
                </c:pt>
                <c:pt idx="105">
                  <c:v>#N/A</c:v>
                </c:pt>
                <c:pt idx="106">
                  <c:v>472</c:v>
                </c:pt>
                <c:pt idx="107">
                  <c:v>416</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675</c:v>
                </c:pt>
                <c:pt idx="132">
                  <c:v>#N/A</c:v>
                </c:pt>
                <c:pt idx="133">
                  <c:v>#N/A</c:v>
                </c:pt>
                <c:pt idx="134">
                  <c:v>607</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7-D9F1-42D7-8C19-D71E4D746C4A}"/>
            </c:ext>
          </c:extLst>
        </c:ser>
        <c:ser>
          <c:idx val="4"/>
          <c:order val="4"/>
          <c:tx>
            <c:v>Relay</c:v>
          </c:tx>
          <c:spPr>
            <a:ln w="25400" cap="rnd">
              <a:noFill/>
              <a:round/>
            </a:ln>
            <a:effectLst/>
          </c:spPr>
          <c:marker>
            <c:symbol val="circle"/>
            <c:size val="7"/>
            <c:spPr>
              <a:solidFill>
                <a:srgbClr val="00B0F0">
                  <a:alpha val="50000"/>
                </a:srgbClr>
              </a:solidFill>
              <a:ln w="9525">
                <a:noFill/>
              </a:ln>
              <a:effectLst/>
            </c:spPr>
          </c:marker>
          <c:xVal>
            <c:numRef>
              <c:f>Plot_data_time!$AT$2:$AT$147</c:f>
              <c:numCache>
                <c:formatCode>m/d/yy</c:formatCode>
                <c:ptCount val="146"/>
                <c:pt idx="0">
                  <c:v>#N/A</c:v>
                </c:pt>
                <c:pt idx="1">
                  <c:v>#N/A</c:v>
                </c:pt>
                <c:pt idx="2">
                  <c:v>#N/A</c:v>
                </c:pt>
                <c:pt idx="3">
                  <c:v>#N/A</c:v>
                </c:pt>
                <c:pt idx="4">
                  <c:v>#N/A</c:v>
                </c:pt>
                <c:pt idx="5">
                  <c:v>41214</c:v>
                </c:pt>
                <c:pt idx="6">
                  <c:v>41214</c:v>
                </c:pt>
                <c:pt idx="7">
                  <c:v>41244</c:v>
                </c:pt>
                <c:pt idx="8">
                  <c:v>#N/A</c:v>
                </c:pt>
                <c:pt idx="9">
                  <c:v>#N/A</c:v>
                </c:pt>
                <c:pt idx="10">
                  <c:v>#N/A</c:v>
                </c:pt>
                <c:pt idx="11">
                  <c:v>41671</c:v>
                </c:pt>
                <c:pt idx="12">
                  <c:v>#N/A</c:v>
                </c:pt>
                <c:pt idx="13">
                  <c:v>#N/A</c:v>
                </c:pt>
                <c:pt idx="14">
                  <c:v>#N/A</c:v>
                </c:pt>
                <c:pt idx="15">
                  <c:v>#N/A</c:v>
                </c:pt>
                <c:pt idx="16">
                  <c:v>42461</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43191</c:v>
                </c:pt>
                <c:pt idx="33">
                  <c:v>#N/A</c:v>
                </c:pt>
                <c:pt idx="34">
                  <c:v>#N/A</c:v>
                </c:pt>
                <c:pt idx="35">
                  <c:v>#N/A</c:v>
                </c:pt>
                <c:pt idx="36">
                  <c:v>43435</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44317</c:v>
                </c:pt>
                <c:pt idx="72">
                  <c:v>#N/A</c:v>
                </c:pt>
                <c:pt idx="73">
                  <c:v>#N/A</c:v>
                </c:pt>
                <c:pt idx="74">
                  <c:v>#N/A</c:v>
                </c:pt>
                <c:pt idx="75">
                  <c:v>#N/A</c:v>
                </c:pt>
                <c:pt idx="76">
                  <c:v>#N/A</c:v>
                </c:pt>
                <c:pt idx="77">
                  <c:v>#N/A</c:v>
                </c:pt>
                <c:pt idx="78">
                  <c:v>#N/A</c:v>
                </c:pt>
                <c:pt idx="79">
                  <c:v>#N/A</c:v>
                </c:pt>
                <c:pt idx="80">
                  <c:v>#N/A</c:v>
                </c:pt>
                <c:pt idx="81">
                  <c:v>#N/A</c:v>
                </c:pt>
                <c:pt idx="82">
                  <c:v>#N/A</c:v>
                </c:pt>
                <c:pt idx="83">
                  <c:v>#N/A</c:v>
                </c:pt>
                <c:pt idx="84">
                  <c:v>44562</c:v>
                </c:pt>
                <c:pt idx="85">
                  <c:v>#N/A</c:v>
                </c:pt>
                <c:pt idx="86">
                  <c:v>#N/A</c:v>
                </c:pt>
                <c:pt idx="87">
                  <c:v>#N/A</c:v>
                </c:pt>
                <c:pt idx="88">
                  <c:v>#N/A</c:v>
                </c:pt>
                <c:pt idx="89">
                  <c:v>#N/A</c:v>
                </c:pt>
                <c:pt idx="90">
                  <c:v>#N/A</c:v>
                </c:pt>
                <c:pt idx="91">
                  <c:v>#N/A</c:v>
                </c:pt>
                <c:pt idx="92">
                  <c:v>#N/A</c:v>
                </c:pt>
                <c:pt idx="93">
                  <c:v>#N/A</c:v>
                </c:pt>
                <c:pt idx="94">
                  <c:v>#N/A</c:v>
                </c:pt>
                <c:pt idx="95">
                  <c:v>#N/A</c:v>
                </c:pt>
                <c:pt idx="96">
                  <c:v>#N/A</c:v>
                </c:pt>
                <c:pt idx="97">
                  <c:v>44593</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44958</c:v>
                </c:pt>
                <c:pt idx="139">
                  <c:v>#N/A</c:v>
                </c:pt>
                <c:pt idx="140">
                  <c:v>#N/A</c:v>
                </c:pt>
                <c:pt idx="141">
                  <c:v>#N/A</c:v>
                </c:pt>
                <c:pt idx="142">
                  <c:v>45047</c:v>
                </c:pt>
                <c:pt idx="143">
                  <c:v>#N/A</c:v>
                </c:pt>
                <c:pt idx="144">
                  <c:v>#N/A</c:v>
                </c:pt>
                <c:pt idx="145">
                  <c:v>#N/A</c:v>
                </c:pt>
              </c:numCache>
            </c:numRef>
          </c:xVal>
          <c:yVal>
            <c:numRef>
              <c:f>Plot_data_time!$AS$2:$AS$147</c:f>
              <c:numCache>
                <c:formatCode>General</c:formatCode>
                <c:ptCount val="146"/>
                <c:pt idx="0">
                  <c:v>#N/A</c:v>
                </c:pt>
                <c:pt idx="1">
                  <c:v>#N/A</c:v>
                </c:pt>
                <c:pt idx="2">
                  <c:v>#N/A</c:v>
                </c:pt>
                <c:pt idx="3">
                  <c:v>#N/A</c:v>
                </c:pt>
                <c:pt idx="4">
                  <c:v>#N/A</c:v>
                </c:pt>
                <c:pt idx="5">
                  <c:v>24.4</c:v>
                </c:pt>
                <c:pt idx="6">
                  <c:v>35.5</c:v>
                </c:pt>
                <c:pt idx="7">
                  <c:v>10.1</c:v>
                </c:pt>
                <c:pt idx="8">
                  <c:v>#N/A</c:v>
                </c:pt>
                <c:pt idx="9">
                  <c:v>#N/A</c:v>
                </c:pt>
                <c:pt idx="10">
                  <c:v>#N/A</c:v>
                </c:pt>
                <c:pt idx="11">
                  <c:v>32</c:v>
                </c:pt>
                <c:pt idx="12">
                  <c:v>#N/A</c:v>
                </c:pt>
                <c:pt idx="13">
                  <c:v>#N/A</c:v>
                </c:pt>
                <c:pt idx="14">
                  <c:v>#N/A</c:v>
                </c:pt>
                <c:pt idx="15">
                  <c:v>#N/A</c:v>
                </c:pt>
                <c:pt idx="16">
                  <c:v>45</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60</c:v>
                </c:pt>
                <c:pt idx="33">
                  <c:v>#N/A</c:v>
                </c:pt>
                <c:pt idx="34">
                  <c:v>#N/A</c:v>
                </c:pt>
                <c:pt idx="35">
                  <c:v>#N/A</c:v>
                </c:pt>
                <c:pt idx="36">
                  <c:v>42</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29.5</c:v>
                </c:pt>
                <c:pt idx="72">
                  <c:v>#N/A</c:v>
                </c:pt>
                <c:pt idx="73">
                  <c:v>#N/A</c:v>
                </c:pt>
                <c:pt idx="74">
                  <c:v>#N/A</c:v>
                </c:pt>
                <c:pt idx="75">
                  <c:v>#N/A</c:v>
                </c:pt>
                <c:pt idx="76">
                  <c:v>#N/A</c:v>
                </c:pt>
                <c:pt idx="77">
                  <c:v>#N/A</c:v>
                </c:pt>
                <c:pt idx="78">
                  <c:v>#N/A</c:v>
                </c:pt>
                <c:pt idx="79">
                  <c:v>#N/A</c:v>
                </c:pt>
                <c:pt idx="80">
                  <c:v>#N/A</c:v>
                </c:pt>
                <c:pt idx="81">
                  <c:v>#N/A</c:v>
                </c:pt>
                <c:pt idx="82">
                  <c:v>#N/A</c:v>
                </c:pt>
                <c:pt idx="83">
                  <c:v>#N/A</c:v>
                </c:pt>
                <c:pt idx="84">
                  <c:v>28</c:v>
                </c:pt>
                <c:pt idx="85">
                  <c:v>#N/A</c:v>
                </c:pt>
                <c:pt idx="86">
                  <c:v>#N/A</c:v>
                </c:pt>
                <c:pt idx="87">
                  <c:v>#N/A</c:v>
                </c:pt>
                <c:pt idx="88">
                  <c:v>#N/A</c:v>
                </c:pt>
                <c:pt idx="89">
                  <c:v>#N/A</c:v>
                </c:pt>
                <c:pt idx="90">
                  <c:v>#N/A</c:v>
                </c:pt>
                <c:pt idx="91">
                  <c:v>#N/A</c:v>
                </c:pt>
                <c:pt idx="92">
                  <c:v>#N/A</c:v>
                </c:pt>
                <c:pt idx="93">
                  <c:v>#N/A</c:v>
                </c:pt>
                <c:pt idx="94">
                  <c:v>#N/A</c:v>
                </c:pt>
                <c:pt idx="95">
                  <c:v>#N/A</c:v>
                </c:pt>
                <c:pt idx="96">
                  <c:v>#N/A</c:v>
                </c:pt>
                <c:pt idx="97">
                  <c:v>260</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260</c:v>
                </c:pt>
                <c:pt idx="139">
                  <c:v>#N/A</c:v>
                </c:pt>
                <c:pt idx="140">
                  <c:v>#N/A</c:v>
                </c:pt>
                <c:pt idx="141">
                  <c:v>#N/A</c:v>
                </c:pt>
                <c:pt idx="142">
                  <c:v>28</c:v>
                </c:pt>
                <c:pt idx="143">
                  <c:v>#N/A</c:v>
                </c:pt>
                <c:pt idx="144">
                  <c:v>#N/A</c:v>
                </c:pt>
                <c:pt idx="145">
                  <c:v>#N/A</c:v>
                </c:pt>
              </c:numCache>
            </c:numRef>
          </c:yVal>
          <c:smooth val="0"/>
          <c:extLst>
            <c:ext xmlns:c16="http://schemas.microsoft.com/office/drawing/2014/chart" uri="{C3380CC4-5D6E-409C-BE32-E72D297353CC}">
              <c16:uniqueId val="{00000008-D9F1-42D7-8C19-D71E4D746C4A}"/>
            </c:ext>
          </c:extLst>
        </c:ser>
        <c:dLbls>
          <c:showLegendKey val="0"/>
          <c:showVal val="0"/>
          <c:showCatName val="0"/>
          <c:showSerName val="0"/>
          <c:showPercent val="0"/>
          <c:showBubbleSize val="0"/>
        </c:dLbls>
        <c:axId val="249305247"/>
        <c:axId val="249087183"/>
      </c:scatterChart>
      <c:valAx>
        <c:axId val="249305247"/>
        <c:scaling>
          <c:orientation val="minMax"/>
        </c:scaling>
        <c:delete val="0"/>
        <c:axPos val="b"/>
        <c:majorGridlines>
          <c:spPr>
            <a:ln w="158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Year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yyyy"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087183"/>
        <c:crosses val="autoZero"/>
        <c:crossBetween val="midCat"/>
      </c:valAx>
      <c:valAx>
        <c:axId val="249087183"/>
        <c:scaling>
          <c:logBase val="10"/>
          <c:orientation val="minMax"/>
          <c:min val="1"/>
        </c:scaling>
        <c:delete val="0"/>
        <c:axPos val="l"/>
        <c:majorGridlines>
          <c:spPr>
            <a:ln w="158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Operating</a:t>
                </a:r>
                <a:r>
                  <a:rPr lang="en-US" baseline="0"/>
                  <a:t> Frequency (GHz)</a:t>
                </a:r>
                <a:endParaRPr lang="en-US"/>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305247"/>
        <c:crosses val="autoZero"/>
        <c:crossBetween val="midCat"/>
      </c:valAx>
      <c:spPr>
        <a:noFill/>
        <a:ln w="25400">
          <a:solidFill>
            <a:schemeClr val="tx1"/>
          </a:solidFill>
        </a:ln>
        <a:effectLst/>
      </c:spPr>
    </c:plotArea>
    <c:legend>
      <c:legendPos val="r"/>
      <c:layout>
        <c:manualLayout>
          <c:xMode val="edge"/>
          <c:yMode val="edge"/>
          <c:x val="0.16435542407431963"/>
          <c:y val="0.67992447763203745"/>
          <c:w val="0.532395172828101"/>
          <c:h val="7.7971292594993746E-2"/>
        </c:manualLayout>
      </c:layout>
      <c:overlay val="1"/>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r>
              <a:rPr lang="en-US"/>
              <a:t>Array # of Elements vs.</a:t>
            </a:r>
            <a:r>
              <a:rPr lang="en-US" baseline="0"/>
              <a:t> Publication Year</a:t>
            </a:r>
            <a:endParaRPr lang="en-US"/>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endParaRPr lang="en-CH"/>
        </a:p>
      </c:txPr>
    </c:title>
    <c:autoTitleDeleted val="0"/>
    <c:plotArea>
      <c:layout>
        <c:manualLayout>
          <c:layoutTarget val="inner"/>
          <c:xMode val="edge"/>
          <c:yMode val="edge"/>
          <c:x val="0.14921300160060638"/>
          <c:y val="0.1655132371066812"/>
          <c:w val="0.49408540301992226"/>
          <c:h val="0.62126968928366488"/>
        </c:manualLayout>
      </c:layout>
      <c:scatterChart>
        <c:scatterStyle val="lineMarker"/>
        <c:varyColors val="0"/>
        <c:ser>
          <c:idx val="0"/>
          <c:order val="0"/>
          <c:tx>
            <c:v>TX &lt;20GHz</c:v>
          </c:tx>
          <c:spPr>
            <a:ln w="25400" cap="rnd">
              <a:noFill/>
              <a:round/>
            </a:ln>
            <a:effectLst/>
          </c:spPr>
          <c:marker>
            <c:symbol val="circle"/>
            <c:size val="7"/>
            <c:spPr>
              <a:solidFill>
                <a:srgbClr val="FF0000">
                  <a:alpha val="75000"/>
                </a:srgbClr>
              </a:solidFill>
              <a:ln w="9525">
                <a:noFill/>
              </a:ln>
              <a:effectLst/>
            </c:spPr>
          </c:marker>
          <c:xVal>
            <c:numRef>
              <c:f>Plot_data_time!$B$2:$B$147</c:f>
              <c:numCache>
                <c:formatCode>m/d/yy</c:formatCode>
                <c:ptCount val="146"/>
                <c:pt idx="0">
                  <c:v>40513</c:v>
                </c:pt>
                <c:pt idx="1">
                  <c:v>#N/A</c:v>
                </c:pt>
                <c:pt idx="2">
                  <c:v>#N/A</c:v>
                </c:pt>
                <c:pt idx="3">
                  <c:v>#N/A</c:v>
                </c:pt>
                <c:pt idx="4">
                  <c:v>41061</c:v>
                </c:pt>
                <c:pt idx="5">
                  <c:v>#N/A</c:v>
                </c:pt>
                <c:pt idx="6">
                  <c:v>#N/A</c:v>
                </c:pt>
                <c:pt idx="7">
                  <c:v>#N/A</c:v>
                </c:pt>
                <c:pt idx="8">
                  <c:v>#N/A</c:v>
                </c:pt>
                <c:pt idx="9">
                  <c:v>#N/A</c:v>
                </c:pt>
                <c:pt idx="10">
                  <c:v>#N/A</c:v>
                </c:pt>
                <c:pt idx="11">
                  <c:v>#N/A</c:v>
                </c:pt>
                <c:pt idx="12">
                  <c:v>#N/A</c:v>
                </c:pt>
                <c:pt idx="13">
                  <c:v>#N/A</c:v>
                </c:pt>
                <c:pt idx="14">
                  <c:v>#N/A</c:v>
                </c:pt>
                <c:pt idx="15">
                  <c:v>#N/A</c:v>
                </c:pt>
                <c:pt idx="16">
                  <c:v>#N/A</c:v>
                </c:pt>
                <c:pt idx="17">
                  <c:v>42644</c:v>
                </c:pt>
                <c:pt idx="18">
                  <c:v>42705</c:v>
                </c:pt>
                <c:pt idx="19">
                  <c:v>42705</c:v>
                </c:pt>
                <c:pt idx="20">
                  <c:v>#N/A</c:v>
                </c:pt>
                <c:pt idx="21">
                  <c:v>42767</c:v>
                </c:pt>
                <c:pt idx="22">
                  <c:v>#N/A</c:v>
                </c:pt>
                <c:pt idx="23">
                  <c:v>#N/A</c:v>
                </c:pt>
                <c:pt idx="24">
                  <c:v>#N/A</c:v>
                </c:pt>
                <c:pt idx="25">
                  <c:v>#N/A</c:v>
                </c:pt>
                <c:pt idx="26">
                  <c:v>#N/A</c:v>
                </c:pt>
                <c:pt idx="27">
                  <c:v>#N/A</c:v>
                </c:pt>
                <c:pt idx="28">
                  <c:v>#N/A</c:v>
                </c:pt>
                <c:pt idx="29">
                  <c:v>#N/A</c:v>
                </c:pt>
                <c:pt idx="30">
                  <c:v>#N/A</c:v>
                </c:pt>
                <c:pt idx="31">
                  <c:v>#N/A</c:v>
                </c:pt>
                <c:pt idx="32">
                  <c:v>#N/A</c:v>
                </c:pt>
                <c:pt idx="33">
                  <c:v>#N/A</c:v>
                </c:pt>
                <c:pt idx="34">
                  <c:v>43344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44044</c:v>
                </c:pt>
                <c:pt idx="56">
                  <c:v>44044</c:v>
                </c:pt>
                <c:pt idx="57">
                  <c:v>#N/A</c:v>
                </c:pt>
                <c:pt idx="58">
                  <c:v>#N/A</c:v>
                </c:pt>
                <c:pt idx="59">
                  <c:v>#N/A</c:v>
                </c:pt>
                <c:pt idx="60">
                  <c:v>#N/A</c:v>
                </c:pt>
                <c:pt idx="61">
                  <c:v>44228</c:v>
                </c:pt>
                <c:pt idx="62">
                  <c:v>#N/A</c:v>
                </c:pt>
                <c:pt idx="63">
                  <c:v>#N/A</c:v>
                </c:pt>
                <c:pt idx="64">
                  <c:v>#N/A</c:v>
                </c:pt>
                <c:pt idx="65">
                  <c:v>#N/A</c:v>
                </c:pt>
                <c:pt idx="66">
                  <c:v>#N/A</c:v>
                </c:pt>
                <c:pt idx="67">
                  <c:v>#N/A</c:v>
                </c:pt>
                <c:pt idx="68">
                  <c:v>44256</c:v>
                </c:pt>
                <c:pt idx="69">
                  <c:v>#N/A</c:v>
                </c:pt>
                <c:pt idx="70">
                  <c:v>44317</c:v>
                </c:pt>
                <c:pt idx="71">
                  <c:v>#N/A</c:v>
                </c:pt>
                <c:pt idx="72">
                  <c:v>#N/A</c:v>
                </c:pt>
                <c:pt idx="73">
                  <c:v>#N/A</c:v>
                </c:pt>
                <c:pt idx="74">
                  <c:v>#N/A</c:v>
                </c:pt>
                <c:pt idx="75">
                  <c:v>#N/A</c:v>
                </c:pt>
                <c:pt idx="76">
                  <c:v>44440</c:v>
                </c:pt>
                <c:pt idx="77">
                  <c:v>#N/A</c:v>
                </c:pt>
                <c:pt idx="78">
                  <c:v>#N/A</c:v>
                </c:pt>
                <c:pt idx="79">
                  <c:v>44531</c:v>
                </c:pt>
                <c:pt idx="80">
                  <c:v>44531</c:v>
                </c:pt>
                <c:pt idx="81">
                  <c:v>44531</c:v>
                </c:pt>
                <c:pt idx="82">
                  <c:v>44531</c:v>
                </c:pt>
                <c:pt idx="83">
                  <c:v>#N/A</c:v>
                </c:pt>
                <c:pt idx="84">
                  <c:v>#N/A</c:v>
                </c:pt>
                <c:pt idx="85">
                  <c:v>#N/A</c:v>
                </c:pt>
                <c:pt idx="86">
                  <c:v>#N/A</c:v>
                </c:pt>
                <c:pt idx="87">
                  <c:v>44562</c:v>
                </c:pt>
                <c:pt idx="88">
                  <c:v>#N/A</c:v>
                </c:pt>
                <c:pt idx="89">
                  <c:v>#N/A</c:v>
                </c:pt>
                <c:pt idx="90">
                  <c:v>#N/A</c:v>
                </c:pt>
                <c:pt idx="91">
                  <c:v>#N/A</c:v>
                </c:pt>
                <c:pt idx="92">
                  <c:v>#N/A</c:v>
                </c:pt>
                <c:pt idx="93">
                  <c:v>#N/A</c:v>
                </c:pt>
                <c:pt idx="94">
                  <c:v>#N/A</c:v>
                </c:pt>
                <c:pt idx="95">
                  <c:v>44593</c:v>
                </c:pt>
                <c:pt idx="96">
                  <c:v>44593</c:v>
                </c:pt>
                <c:pt idx="97">
                  <c:v>#N/A</c:v>
                </c:pt>
                <c:pt idx="98">
                  <c:v>44593</c:v>
                </c:pt>
                <c:pt idx="99">
                  <c:v>#N/A</c:v>
                </c:pt>
                <c:pt idx="100">
                  <c:v>#N/A</c:v>
                </c:pt>
                <c:pt idx="101">
                  <c:v>#N/A</c:v>
                </c:pt>
                <c:pt idx="102">
                  <c:v>44713</c:v>
                </c:pt>
                <c:pt idx="103">
                  <c:v>#N/A</c:v>
                </c:pt>
                <c:pt idx="104">
                  <c:v>#N/A</c:v>
                </c:pt>
                <c:pt idx="105">
                  <c:v>44713</c:v>
                </c:pt>
                <c:pt idx="106">
                  <c:v>#N/A</c:v>
                </c:pt>
                <c:pt idx="107">
                  <c:v>#N/A</c:v>
                </c:pt>
                <c:pt idx="108">
                  <c:v>44743</c:v>
                </c:pt>
                <c:pt idx="109">
                  <c:v>#N/A</c:v>
                </c:pt>
                <c:pt idx="110">
                  <c:v>#N/A</c:v>
                </c:pt>
                <c:pt idx="111">
                  <c:v>44805</c:v>
                </c:pt>
                <c:pt idx="112">
                  <c:v>#N/A</c:v>
                </c:pt>
                <c:pt idx="113">
                  <c:v>#N/A</c:v>
                </c:pt>
                <c:pt idx="114">
                  <c:v>#N/A</c:v>
                </c:pt>
                <c:pt idx="115">
                  <c:v>44835</c:v>
                </c:pt>
                <c:pt idx="116">
                  <c:v>#N/A</c:v>
                </c:pt>
                <c:pt idx="117">
                  <c:v>#N/A</c:v>
                </c:pt>
                <c:pt idx="118">
                  <c:v>#N/A</c:v>
                </c:pt>
                <c:pt idx="119">
                  <c:v>#N/A</c:v>
                </c:pt>
                <c:pt idx="120">
                  <c:v>#N/A</c:v>
                </c:pt>
                <c:pt idx="121">
                  <c:v>#N/A</c:v>
                </c:pt>
                <c:pt idx="122">
                  <c:v>#N/A</c:v>
                </c:pt>
                <c:pt idx="123">
                  <c:v>#N/A</c:v>
                </c:pt>
                <c:pt idx="124">
                  <c:v>44896</c:v>
                </c:pt>
                <c:pt idx="125">
                  <c:v>44896</c:v>
                </c:pt>
                <c:pt idx="126">
                  <c:v>#N/A</c:v>
                </c:pt>
                <c:pt idx="127">
                  <c:v>#N/A</c:v>
                </c:pt>
                <c:pt idx="128">
                  <c:v>44927</c:v>
                </c:pt>
                <c:pt idx="129">
                  <c:v>44958</c:v>
                </c:pt>
                <c:pt idx="130">
                  <c:v>44958</c:v>
                </c:pt>
                <c:pt idx="131">
                  <c:v>#N/A</c:v>
                </c:pt>
                <c:pt idx="132">
                  <c:v>#N/A</c:v>
                </c:pt>
                <c:pt idx="133">
                  <c:v>#N/A</c:v>
                </c:pt>
                <c:pt idx="134">
                  <c:v>#N/A</c:v>
                </c:pt>
                <c:pt idx="135">
                  <c:v>44958</c:v>
                </c:pt>
                <c:pt idx="136">
                  <c:v>44958</c:v>
                </c:pt>
                <c:pt idx="137">
                  <c:v>#N/A</c:v>
                </c:pt>
                <c:pt idx="138">
                  <c:v>#N/A</c:v>
                </c:pt>
                <c:pt idx="139">
                  <c:v>#N/A</c:v>
                </c:pt>
                <c:pt idx="140">
                  <c:v>#N/A</c:v>
                </c:pt>
                <c:pt idx="141">
                  <c:v>#N/A</c:v>
                </c:pt>
                <c:pt idx="142">
                  <c:v>#N/A</c:v>
                </c:pt>
                <c:pt idx="143">
                  <c:v>#N/A</c:v>
                </c:pt>
                <c:pt idx="144">
                  <c:v>#N/A</c:v>
                </c:pt>
                <c:pt idx="145">
                  <c:v>#N/A</c:v>
                </c:pt>
              </c:numCache>
            </c:numRef>
          </c:xVal>
          <c:yVal>
            <c:numRef>
              <c:f>Plot_data_time!$D$2:$D$147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256</c:v>
                </c:pt>
                <c:pt idx="71">
                  <c:v>#N/A</c:v>
                </c:pt>
                <c:pt idx="72">
                  <c:v>#N/A</c:v>
                </c:pt>
                <c:pt idx="73">
                  <c:v>#N/A</c:v>
                </c:pt>
                <c:pt idx="74">
                  <c:v>#N/A</c:v>
                </c:pt>
                <c:pt idx="75">
                  <c:v>#N/A</c:v>
                </c:pt>
                <c:pt idx="76">
                  <c:v>1024</c:v>
                </c:pt>
                <c:pt idx="77">
                  <c:v>#N/A</c:v>
                </c:pt>
                <c:pt idx="78">
                  <c:v>#N/A</c:v>
                </c:pt>
                <c:pt idx="79">
                  <c:v>#N/A</c:v>
                </c:pt>
                <c:pt idx="80">
                  <c:v>8</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64</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16</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1-2C9B-4F81-8564-F87B50377741}"/>
            </c:ext>
          </c:extLst>
        </c:ser>
        <c:ser>
          <c:idx val="1"/>
          <c:order val="1"/>
          <c:tx>
            <c:v>TX 20-50GHz</c:v>
          </c:tx>
          <c:spPr>
            <a:ln w="25400" cap="rnd">
              <a:noFill/>
              <a:round/>
            </a:ln>
            <a:effectLst/>
          </c:spPr>
          <c:marker>
            <c:symbol val="circle"/>
            <c:size val="7"/>
            <c:spPr>
              <a:solidFill>
                <a:schemeClr val="accent4">
                  <a:alpha val="75000"/>
                </a:schemeClr>
              </a:solidFill>
              <a:ln w="9525">
                <a:noFill/>
              </a:ln>
              <a:effectLst/>
            </c:spPr>
          </c:marker>
          <c:xVal>
            <c:numRef>
              <c:f>Plot_data_time!$B$2:$B$147</c:f>
              <c:numCache>
                <c:formatCode>m/d/yy</c:formatCode>
                <c:ptCount val="146"/>
                <c:pt idx="0">
                  <c:v>40513</c:v>
                </c:pt>
                <c:pt idx="1">
                  <c:v>#N/A</c:v>
                </c:pt>
                <c:pt idx="2">
                  <c:v>#N/A</c:v>
                </c:pt>
                <c:pt idx="3">
                  <c:v>#N/A</c:v>
                </c:pt>
                <c:pt idx="4">
                  <c:v>41061</c:v>
                </c:pt>
                <c:pt idx="5">
                  <c:v>#N/A</c:v>
                </c:pt>
                <c:pt idx="6">
                  <c:v>#N/A</c:v>
                </c:pt>
                <c:pt idx="7">
                  <c:v>#N/A</c:v>
                </c:pt>
                <c:pt idx="8">
                  <c:v>#N/A</c:v>
                </c:pt>
                <c:pt idx="9">
                  <c:v>#N/A</c:v>
                </c:pt>
                <c:pt idx="10">
                  <c:v>#N/A</c:v>
                </c:pt>
                <c:pt idx="11">
                  <c:v>#N/A</c:v>
                </c:pt>
                <c:pt idx="12">
                  <c:v>#N/A</c:v>
                </c:pt>
                <c:pt idx="13">
                  <c:v>#N/A</c:v>
                </c:pt>
                <c:pt idx="14">
                  <c:v>#N/A</c:v>
                </c:pt>
                <c:pt idx="15">
                  <c:v>#N/A</c:v>
                </c:pt>
                <c:pt idx="16">
                  <c:v>#N/A</c:v>
                </c:pt>
                <c:pt idx="17">
                  <c:v>42644</c:v>
                </c:pt>
                <c:pt idx="18">
                  <c:v>42705</c:v>
                </c:pt>
                <c:pt idx="19">
                  <c:v>42705</c:v>
                </c:pt>
                <c:pt idx="20">
                  <c:v>#N/A</c:v>
                </c:pt>
                <c:pt idx="21">
                  <c:v>42767</c:v>
                </c:pt>
                <c:pt idx="22">
                  <c:v>#N/A</c:v>
                </c:pt>
                <c:pt idx="23">
                  <c:v>#N/A</c:v>
                </c:pt>
                <c:pt idx="24">
                  <c:v>#N/A</c:v>
                </c:pt>
                <c:pt idx="25">
                  <c:v>#N/A</c:v>
                </c:pt>
                <c:pt idx="26">
                  <c:v>#N/A</c:v>
                </c:pt>
                <c:pt idx="27">
                  <c:v>#N/A</c:v>
                </c:pt>
                <c:pt idx="28">
                  <c:v>#N/A</c:v>
                </c:pt>
                <c:pt idx="29">
                  <c:v>#N/A</c:v>
                </c:pt>
                <c:pt idx="30">
                  <c:v>#N/A</c:v>
                </c:pt>
                <c:pt idx="31">
                  <c:v>#N/A</c:v>
                </c:pt>
                <c:pt idx="32">
                  <c:v>#N/A</c:v>
                </c:pt>
                <c:pt idx="33">
                  <c:v>#N/A</c:v>
                </c:pt>
                <c:pt idx="34">
                  <c:v>43344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44044</c:v>
                </c:pt>
                <c:pt idx="56">
                  <c:v>44044</c:v>
                </c:pt>
                <c:pt idx="57">
                  <c:v>#N/A</c:v>
                </c:pt>
                <c:pt idx="58">
                  <c:v>#N/A</c:v>
                </c:pt>
                <c:pt idx="59">
                  <c:v>#N/A</c:v>
                </c:pt>
                <c:pt idx="60">
                  <c:v>#N/A</c:v>
                </c:pt>
                <c:pt idx="61">
                  <c:v>44228</c:v>
                </c:pt>
                <c:pt idx="62">
                  <c:v>#N/A</c:v>
                </c:pt>
                <c:pt idx="63">
                  <c:v>#N/A</c:v>
                </c:pt>
                <c:pt idx="64">
                  <c:v>#N/A</c:v>
                </c:pt>
                <c:pt idx="65">
                  <c:v>#N/A</c:v>
                </c:pt>
                <c:pt idx="66">
                  <c:v>#N/A</c:v>
                </c:pt>
                <c:pt idx="67">
                  <c:v>#N/A</c:v>
                </c:pt>
                <c:pt idx="68">
                  <c:v>44256</c:v>
                </c:pt>
                <c:pt idx="69">
                  <c:v>#N/A</c:v>
                </c:pt>
                <c:pt idx="70">
                  <c:v>44317</c:v>
                </c:pt>
                <c:pt idx="71">
                  <c:v>#N/A</c:v>
                </c:pt>
                <c:pt idx="72">
                  <c:v>#N/A</c:v>
                </c:pt>
                <c:pt idx="73">
                  <c:v>#N/A</c:v>
                </c:pt>
                <c:pt idx="74">
                  <c:v>#N/A</c:v>
                </c:pt>
                <c:pt idx="75">
                  <c:v>#N/A</c:v>
                </c:pt>
                <c:pt idx="76">
                  <c:v>44440</c:v>
                </c:pt>
                <c:pt idx="77">
                  <c:v>#N/A</c:v>
                </c:pt>
                <c:pt idx="78">
                  <c:v>#N/A</c:v>
                </c:pt>
                <c:pt idx="79">
                  <c:v>44531</c:v>
                </c:pt>
                <c:pt idx="80">
                  <c:v>44531</c:v>
                </c:pt>
                <c:pt idx="81">
                  <c:v>44531</c:v>
                </c:pt>
                <c:pt idx="82">
                  <c:v>44531</c:v>
                </c:pt>
                <c:pt idx="83">
                  <c:v>#N/A</c:v>
                </c:pt>
                <c:pt idx="84">
                  <c:v>#N/A</c:v>
                </c:pt>
                <c:pt idx="85">
                  <c:v>#N/A</c:v>
                </c:pt>
                <c:pt idx="86">
                  <c:v>#N/A</c:v>
                </c:pt>
                <c:pt idx="87">
                  <c:v>44562</c:v>
                </c:pt>
                <c:pt idx="88">
                  <c:v>#N/A</c:v>
                </c:pt>
                <c:pt idx="89">
                  <c:v>#N/A</c:v>
                </c:pt>
                <c:pt idx="90">
                  <c:v>#N/A</c:v>
                </c:pt>
                <c:pt idx="91">
                  <c:v>#N/A</c:v>
                </c:pt>
                <c:pt idx="92">
                  <c:v>#N/A</c:v>
                </c:pt>
                <c:pt idx="93">
                  <c:v>#N/A</c:v>
                </c:pt>
                <c:pt idx="94">
                  <c:v>#N/A</c:v>
                </c:pt>
                <c:pt idx="95">
                  <c:v>44593</c:v>
                </c:pt>
                <c:pt idx="96">
                  <c:v>44593</c:v>
                </c:pt>
                <c:pt idx="97">
                  <c:v>#N/A</c:v>
                </c:pt>
                <c:pt idx="98">
                  <c:v>44593</c:v>
                </c:pt>
                <c:pt idx="99">
                  <c:v>#N/A</c:v>
                </c:pt>
                <c:pt idx="100">
                  <c:v>#N/A</c:v>
                </c:pt>
                <c:pt idx="101">
                  <c:v>#N/A</c:v>
                </c:pt>
                <c:pt idx="102">
                  <c:v>44713</c:v>
                </c:pt>
                <c:pt idx="103">
                  <c:v>#N/A</c:v>
                </c:pt>
                <c:pt idx="104">
                  <c:v>#N/A</c:v>
                </c:pt>
                <c:pt idx="105">
                  <c:v>44713</c:v>
                </c:pt>
                <c:pt idx="106">
                  <c:v>#N/A</c:v>
                </c:pt>
                <c:pt idx="107">
                  <c:v>#N/A</c:v>
                </c:pt>
                <c:pt idx="108">
                  <c:v>44743</c:v>
                </c:pt>
                <c:pt idx="109">
                  <c:v>#N/A</c:v>
                </c:pt>
                <c:pt idx="110">
                  <c:v>#N/A</c:v>
                </c:pt>
                <c:pt idx="111">
                  <c:v>44805</c:v>
                </c:pt>
                <c:pt idx="112">
                  <c:v>#N/A</c:v>
                </c:pt>
                <c:pt idx="113">
                  <c:v>#N/A</c:v>
                </c:pt>
                <c:pt idx="114">
                  <c:v>#N/A</c:v>
                </c:pt>
                <c:pt idx="115">
                  <c:v>44835</c:v>
                </c:pt>
                <c:pt idx="116">
                  <c:v>#N/A</c:v>
                </c:pt>
                <c:pt idx="117">
                  <c:v>#N/A</c:v>
                </c:pt>
                <c:pt idx="118">
                  <c:v>#N/A</c:v>
                </c:pt>
                <c:pt idx="119">
                  <c:v>#N/A</c:v>
                </c:pt>
                <c:pt idx="120">
                  <c:v>#N/A</c:v>
                </c:pt>
                <c:pt idx="121">
                  <c:v>#N/A</c:v>
                </c:pt>
                <c:pt idx="122">
                  <c:v>#N/A</c:v>
                </c:pt>
                <c:pt idx="123">
                  <c:v>#N/A</c:v>
                </c:pt>
                <c:pt idx="124">
                  <c:v>44896</c:v>
                </c:pt>
                <c:pt idx="125">
                  <c:v>44896</c:v>
                </c:pt>
                <c:pt idx="126">
                  <c:v>#N/A</c:v>
                </c:pt>
                <c:pt idx="127">
                  <c:v>#N/A</c:v>
                </c:pt>
                <c:pt idx="128">
                  <c:v>44927</c:v>
                </c:pt>
                <c:pt idx="129">
                  <c:v>44958</c:v>
                </c:pt>
                <c:pt idx="130">
                  <c:v>44958</c:v>
                </c:pt>
                <c:pt idx="131">
                  <c:v>#N/A</c:v>
                </c:pt>
                <c:pt idx="132">
                  <c:v>#N/A</c:v>
                </c:pt>
                <c:pt idx="133">
                  <c:v>#N/A</c:v>
                </c:pt>
                <c:pt idx="134">
                  <c:v>#N/A</c:v>
                </c:pt>
                <c:pt idx="135">
                  <c:v>44958</c:v>
                </c:pt>
                <c:pt idx="136">
                  <c:v>44958</c:v>
                </c:pt>
                <c:pt idx="137">
                  <c:v>#N/A</c:v>
                </c:pt>
                <c:pt idx="138">
                  <c:v>#N/A</c:v>
                </c:pt>
                <c:pt idx="139">
                  <c:v>#N/A</c:v>
                </c:pt>
                <c:pt idx="140">
                  <c:v>#N/A</c:v>
                </c:pt>
                <c:pt idx="141">
                  <c:v>#N/A</c:v>
                </c:pt>
                <c:pt idx="142">
                  <c:v>#N/A</c:v>
                </c:pt>
                <c:pt idx="143">
                  <c:v>#N/A</c:v>
                </c:pt>
                <c:pt idx="144">
                  <c:v>#N/A</c:v>
                </c:pt>
                <c:pt idx="145">
                  <c:v>#N/A</c:v>
                </c:pt>
              </c:numCache>
            </c:numRef>
          </c:xVal>
          <c:yVal>
            <c:numRef>
              <c:f>Plot_data_time!$E$2:$E$147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8</c:v>
                </c:pt>
                <c:pt idx="80">
                  <c:v>#N/A</c:v>
                </c:pt>
                <c:pt idx="81">
                  <c:v>8</c:v>
                </c:pt>
                <c:pt idx="82">
                  <c:v>#N/A</c:v>
                </c:pt>
                <c:pt idx="83">
                  <c:v>#N/A</c:v>
                </c:pt>
                <c:pt idx="84">
                  <c:v>#N/A</c:v>
                </c:pt>
                <c:pt idx="85">
                  <c:v>#N/A</c:v>
                </c:pt>
                <c:pt idx="86">
                  <c:v>#N/A</c:v>
                </c:pt>
                <c:pt idx="87">
                  <c:v>8</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16</c:v>
                </c:pt>
                <c:pt idx="106">
                  <c:v>#N/A</c:v>
                </c:pt>
                <c:pt idx="107">
                  <c:v>#N/A</c:v>
                </c:pt>
                <c:pt idx="108">
                  <c:v>#N/A</c:v>
                </c:pt>
                <c:pt idx="109">
                  <c:v>#N/A</c:v>
                </c:pt>
                <c:pt idx="110">
                  <c:v>#N/A</c:v>
                </c:pt>
                <c:pt idx="111">
                  <c:v>#N/A</c:v>
                </c:pt>
                <c:pt idx="112">
                  <c:v>#N/A</c:v>
                </c:pt>
                <c:pt idx="113">
                  <c:v>#N/A</c:v>
                </c:pt>
                <c:pt idx="114">
                  <c:v>#N/A</c:v>
                </c:pt>
                <c:pt idx="115">
                  <c:v>4</c:v>
                </c:pt>
                <c:pt idx="116">
                  <c:v>#N/A</c:v>
                </c:pt>
                <c:pt idx="117">
                  <c:v>#N/A</c:v>
                </c:pt>
                <c:pt idx="118">
                  <c:v>#N/A</c:v>
                </c:pt>
                <c:pt idx="119">
                  <c:v>#N/A</c:v>
                </c:pt>
                <c:pt idx="120">
                  <c:v>#N/A</c:v>
                </c:pt>
                <c:pt idx="121">
                  <c:v>#N/A</c:v>
                </c:pt>
                <c:pt idx="122">
                  <c:v>#N/A</c:v>
                </c:pt>
                <c:pt idx="123">
                  <c:v>#N/A</c:v>
                </c:pt>
                <c:pt idx="124">
                  <c:v>#N/A</c:v>
                </c:pt>
                <c:pt idx="125">
                  <c:v>16</c:v>
                </c:pt>
                <c:pt idx="126">
                  <c:v>#N/A</c:v>
                </c:pt>
                <c:pt idx="127">
                  <c:v>#N/A</c:v>
                </c:pt>
                <c:pt idx="128">
                  <c:v>4</c:v>
                </c:pt>
                <c:pt idx="129">
                  <c:v>#N/A</c:v>
                </c:pt>
                <c:pt idx="130">
                  <c:v>#N/A</c:v>
                </c:pt>
                <c:pt idx="131">
                  <c:v>#N/A</c:v>
                </c:pt>
                <c:pt idx="132">
                  <c:v>#N/A</c:v>
                </c:pt>
                <c:pt idx="133">
                  <c:v>#N/A</c:v>
                </c:pt>
                <c:pt idx="134">
                  <c:v>#N/A</c:v>
                </c:pt>
                <c:pt idx="135">
                  <c:v>256</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3-2C9B-4F81-8564-F87B50377741}"/>
            </c:ext>
          </c:extLst>
        </c:ser>
        <c:ser>
          <c:idx val="2"/>
          <c:order val="2"/>
          <c:tx>
            <c:v>TX 50-75GHz</c:v>
          </c:tx>
          <c:spPr>
            <a:ln w="25400" cap="rnd">
              <a:noFill/>
              <a:round/>
            </a:ln>
            <a:effectLst/>
          </c:spPr>
          <c:marker>
            <c:symbol val="circle"/>
            <c:size val="7"/>
            <c:spPr>
              <a:solidFill>
                <a:srgbClr val="00B050">
                  <a:alpha val="75000"/>
                </a:srgbClr>
              </a:solidFill>
              <a:ln w="9525">
                <a:noFill/>
              </a:ln>
              <a:effectLst/>
            </c:spPr>
          </c:marker>
          <c:xVal>
            <c:numRef>
              <c:f>Plot_data_time!$B$2:$B$147</c:f>
              <c:numCache>
                <c:formatCode>m/d/yy</c:formatCode>
                <c:ptCount val="146"/>
                <c:pt idx="0">
                  <c:v>40513</c:v>
                </c:pt>
                <c:pt idx="1">
                  <c:v>#N/A</c:v>
                </c:pt>
                <c:pt idx="2">
                  <c:v>#N/A</c:v>
                </c:pt>
                <c:pt idx="3">
                  <c:v>#N/A</c:v>
                </c:pt>
                <c:pt idx="4">
                  <c:v>41061</c:v>
                </c:pt>
                <c:pt idx="5">
                  <c:v>#N/A</c:v>
                </c:pt>
                <c:pt idx="6">
                  <c:v>#N/A</c:v>
                </c:pt>
                <c:pt idx="7">
                  <c:v>#N/A</c:v>
                </c:pt>
                <c:pt idx="8">
                  <c:v>#N/A</c:v>
                </c:pt>
                <c:pt idx="9">
                  <c:v>#N/A</c:v>
                </c:pt>
                <c:pt idx="10">
                  <c:v>#N/A</c:v>
                </c:pt>
                <c:pt idx="11">
                  <c:v>#N/A</c:v>
                </c:pt>
                <c:pt idx="12">
                  <c:v>#N/A</c:v>
                </c:pt>
                <c:pt idx="13">
                  <c:v>#N/A</c:v>
                </c:pt>
                <c:pt idx="14">
                  <c:v>#N/A</c:v>
                </c:pt>
                <c:pt idx="15">
                  <c:v>#N/A</c:v>
                </c:pt>
                <c:pt idx="16">
                  <c:v>#N/A</c:v>
                </c:pt>
                <c:pt idx="17">
                  <c:v>42644</c:v>
                </c:pt>
                <c:pt idx="18">
                  <c:v>42705</c:v>
                </c:pt>
                <c:pt idx="19">
                  <c:v>42705</c:v>
                </c:pt>
                <c:pt idx="20">
                  <c:v>#N/A</c:v>
                </c:pt>
                <c:pt idx="21">
                  <c:v>42767</c:v>
                </c:pt>
                <c:pt idx="22">
                  <c:v>#N/A</c:v>
                </c:pt>
                <c:pt idx="23">
                  <c:v>#N/A</c:v>
                </c:pt>
                <c:pt idx="24">
                  <c:v>#N/A</c:v>
                </c:pt>
                <c:pt idx="25">
                  <c:v>#N/A</c:v>
                </c:pt>
                <c:pt idx="26">
                  <c:v>#N/A</c:v>
                </c:pt>
                <c:pt idx="27">
                  <c:v>#N/A</c:v>
                </c:pt>
                <c:pt idx="28">
                  <c:v>#N/A</c:v>
                </c:pt>
                <c:pt idx="29">
                  <c:v>#N/A</c:v>
                </c:pt>
                <c:pt idx="30">
                  <c:v>#N/A</c:v>
                </c:pt>
                <c:pt idx="31">
                  <c:v>#N/A</c:v>
                </c:pt>
                <c:pt idx="32">
                  <c:v>#N/A</c:v>
                </c:pt>
                <c:pt idx="33">
                  <c:v>#N/A</c:v>
                </c:pt>
                <c:pt idx="34">
                  <c:v>43344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44044</c:v>
                </c:pt>
                <c:pt idx="56">
                  <c:v>44044</c:v>
                </c:pt>
                <c:pt idx="57">
                  <c:v>#N/A</c:v>
                </c:pt>
                <c:pt idx="58">
                  <c:v>#N/A</c:v>
                </c:pt>
                <c:pt idx="59">
                  <c:v>#N/A</c:v>
                </c:pt>
                <c:pt idx="60">
                  <c:v>#N/A</c:v>
                </c:pt>
                <c:pt idx="61">
                  <c:v>44228</c:v>
                </c:pt>
                <c:pt idx="62">
                  <c:v>#N/A</c:v>
                </c:pt>
                <c:pt idx="63">
                  <c:v>#N/A</c:v>
                </c:pt>
                <c:pt idx="64">
                  <c:v>#N/A</c:v>
                </c:pt>
                <c:pt idx="65">
                  <c:v>#N/A</c:v>
                </c:pt>
                <c:pt idx="66">
                  <c:v>#N/A</c:v>
                </c:pt>
                <c:pt idx="67">
                  <c:v>#N/A</c:v>
                </c:pt>
                <c:pt idx="68">
                  <c:v>44256</c:v>
                </c:pt>
                <c:pt idx="69">
                  <c:v>#N/A</c:v>
                </c:pt>
                <c:pt idx="70">
                  <c:v>44317</c:v>
                </c:pt>
                <c:pt idx="71">
                  <c:v>#N/A</c:v>
                </c:pt>
                <c:pt idx="72">
                  <c:v>#N/A</c:v>
                </c:pt>
                <c:pt idx="73">
                  <c:v>#N/A</c:v>
                </c:pt>
                <c:pt idx="74">
                  <c:v>#N/A</c:v>
                </c:pt>
                <c:pt idx="75">
                  <c:v>#N/A</c:v>
                </c:pt>
                <c:pt idx="76">
                  <c:v>44440</c:v>
                </c:pt>
                <c:pt idx="77">
                  <c:v>#N/A</c:v>
                </c:pt>
                <c:pt idx="78">
                  <c:v>#N/A</c:v>
                </c:pt>
                <c:pt idx="79">
                  <c:v>44531</c:v>
                </c:pt>
                <c:pt idx="80">
                  <c:v>44531</c:v>
                </c:pt>
                <c:pt idx="81">
                  <c:v>44531</c:v>
                </c:pt>
                <c:pt idx="82">
                  <c:v>44531</c:v>
                </c:pt>
                <c:pt idx="83">
                  <c:v>#N/A</c:v>
                </c:pt>
                <c:pt idx="84">
                  <c:v>#N/A</c:v>
                </c:pt>
                <c:pt idx="85">
                  <c:v>#N/A</c:v>
                </c:pt>
                <c:pt idx="86">
                  <c:v>#N/A</c:v>
                </c:pt>
                <c:pt idx="87">
                  <c:v>44562</c:v>
                </c:pt>
                <c:pt idx="88">
                  <c:v>#N/A</c:v>
                </c:pt>
                <c:pt idx="89">
                  <c:v>#N/A</c:v>
                </c:pt>
                <c:pt idx="90">
                  <c:v>#N/A</c:v>
                </c:pt>
                <c:pt idx="91">
                  <c:v>#N/A</c:v>
                </c:pt>
                <c:pt idx="92">
                  <c:v>#N/A</c:v>
                </c:pt>
                <c:pt idx="93">
                  <c:v>#N/A</c:v>
                </c:pt>
                <c:pt idx="94">
                  <c:v>#N/A</c:v>
                </c:pt>
                <c:pt idx="95">
                  <c:v>44593</c:v>
                </c:pt>
                <c:pt idx="96">
                  <c:v>44593</c:v>
                </c:pt>
                <c:pt idx="97">
                  <c:v>#N/A</c:v>
                </c:pt>
                <c:pt idx="98">
                  <c:v>44593</c:v>
                </c:pt>
                <c:pt idx="99">
                  <c:v>#N/A</c:v>
                </c:pt>
                <c:pt idx="100">
                  <c:v>#N/A</c:v>
                </c:pt>
                <c:pt idx="101">
                  <c:v>#N/A</c:v>
                </c:pt>
                <c:pt idx="102">
                  <c:v>44713</c:v>
                </c:pt>
                <c:pt idx="103">
                  <c:v>#N/A</c:v>
                </c:pt>
                <c:pt idx="104">
                  <c:v>#N/A</c:v>
                </c:pt>
                <c:pt idx="105">
                  <c:v>44713</c:v>
                </c:pt>
                <c:pt idx="106">
                  <c:v>#N/A</c:v>
                </c:pt>
                <c:pt idx="107">
                  <c:v>#N/A</c:v>
                </c:pt>
                <c:pt idx="108">
                  <c:v>44743</c:v>
                </c:pt>
                <c:pt idx="109">
                  <c:v>#N/A</c:v>
                </c:pt>
                <c:pt idx="110">
                  <c:v>#N/A</c:v>
                </c:pt>
                <c:pt idx="111">
                  <c:v>44805</c:v>
                </c:pt>
                <c:pt idx="112">
                  <c:v>#N/A</c:v>
                </c:pt>
                <c:pt idx="113">
                  <c:v>#N/A</c:v>
                </c:pt>
                <c:pt idx="114">
                  <c:v>#N/A</c:v>
                </c:pt>
                <c:pt idx="115">
                  <c:v>44835</c:v>
                </c:pt>
                <c:pt idx="116">
                  <c:v>#N/A</c:v>
                </c:pt>
                <c:pt idx="117">
                  <c:v>#N/A</c:v>
                </c:pt>
                <c:pt idx="118">
                  <c:v>#N/A</c:v>
                </c:pt>
                <c:pt idx="119">
                  <c:v>#N/A</c:v>
                </c:pt>
                <c:pt idx="120">
                  <c:v>#N/A</c:v>
                </c:pt>
                <c:pt idx="121">
                  <c:v>#N/A</c:v>
                </c:pt>
                <c:pt idx="122">
                  <c:v>#N/A</c:v>
                </c:pt>
                <c:pt idx="123">
                  <c:v>#N/A</c:v>
                </c:pt>
                <c:pt idx="124">
                  <c:v>44896</c:v>
                </c:pt>
                <c:pt idx="125">
                  <c:v>44896</c:v>
                </c:pt>
                <c:pt idx="126">
                  <c:v>#N/A</c:v>
                </c:pt>
                <c:pt idx="127">
                  <c:v>#N/A</c:v>
                </c:pt>
                <c:pt idx="128">
                  <c:v>44927</c:v>
                </c:pt>
                <c:pt idx="129">
                  <c:v>44958</c:v>
                </c:pt>
                <c:pt idx="130">
                  <c:v>44958</c:v>
                </c:pt>
                <c:pt idx="131">
                  <c:v>#N/A</c:v>
                </c:pt>
                <c:pt idx="132">
                  <c:v>#N/A</c:v>
                </c:pt>
                <c:pt idx="133">
                  <c:v>#N/A</c:v>
                </c:pt>
                <c:pt idx="134">
                  <c:v>#N/A</c:v>
                </c:pt>
                <c:pt idx="135">
                  <c:v>44958</c:v>
                </c:pt>
                <c:pt idx="136">
                  <c:v>44958</c:v>
                </c:pt>
                <c:pt idx="137">
                  <c:v>#N/A</c:v>
                </c:pt>
                <c:pt idx="138">
                  <c:v>#N/A</c:v>
                </c:pt>
                <c:pt idx="139">
                  <c:v>#N/A</c:v>
                </c:pt>
                <c:pt idx="140">
                  <c:v>#N/A</c:v>
                </c:pt>
                <c:pt idx="141">
                  <c:v>#N/A</c:v>
                </c:pt>
                <c:pt idx="142">
                  <c:v>#N/A</c:v>
                </c:pt>
                <c:pt idx="143">
                  <c:v>#N/A</c:v>
                </c:pt>
                <c:pt idx="144">
                  <c:v>#N/A</c:v>
                </c:pt>
                <c:pt idx="145">
                  <c:v>#N/A</c:v>
                </c:pt>
              </c:numCache>
            </c:numRef>
          </c:xVal>
          <c:yVal>
            <c:numRef>
              <c:f>Plot_data_time!$F$2:$F$147</c:f>
              <c:numCache>
                <c:formatCode>General</c:formatCode>
                <c:ptCount val="146"/>
                <c:pt idx="0">
                  <c:v>16</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64</c:v>
                </c:pt>
                <c:pt idx="19">
                  <c:v>256</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1</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8</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4-2C9B-4F81-8564-F87B50377741}"/>
            </c:ext>
          </c:extLst>
        </c:ser>
        <c:ser>
          <c:idx val="3"/>
          <c:order val="3"/>
          <c:tx>
            <c:v>TX 75-110GHz</c:v>
          </c:tx>
          <c:spPr>
            <a:ln w="25400" cap="rnd">
              <a:noFill/>
              <a:round/>
            </a:ln>
            <a:effectLst/>
          </c:spPr>
          <c:marker>
            <c:symbol val="circle"/>
            <c:size val="7"/>
            <c:spPr>
              <a:solidFill>
                <a:srgbClr val="00B0F0">
                  <a:alpha val="75000"/>
                </a:srgbClr>
              </a:solidFill>
              <a:ln w="9525">
                <a:noFill/>
              </a:ln>
              <a:effectLst/>
            </c:spPr>
          </c:marker>
          <c:xVal>
            <c:numRef>
              <c:f>Plot_data_time!$B$2:$B$147</c:f>
              <c:numCache>
                <c:formatCode>m/d/yy</c:formatCode>
                <c:ptCount val="146"/>
                <c:pt idx="0">
                  <c:v>40513</c:v>
                </c:pt>
                <c:pt idx="1">
                  <c:v>#N/A</c:v>
                </c:pt>
                <c:pt idx="2">
                  <c:v>#N/A</c:v>
                </c:pt>
                <c:pt idx="3">
                  <c:v>#N/A</c:v>
                </c:pt>
                <c:pt idx="4">
                  <c:v>41061</c:v>
                </c:pt>
                <c:pt idx="5">
                  <c:v>#N/A</c:v>
                </c:pt>
                <c:pt idx="6">
                  <c:v>#N/A</c:v>
                </c:pt>
                <c:pt idx="7">
                  <c:v>#N/A</c:v>
                </c:pt>
                <c:pt idx="8">
                  <c:v>#N/A</c:v>
                </c:pt>
                <c:pt idx="9">
                  <c:v>#N/A</c:v>
                </c:pt>
                <c:pt idx="10">
                  <c:v>#N/A</c:v>
                </c:pt>
                <c:pt idx="11">
                  <c:v>#N/A</c:v>
                </c:pt>
                <c:pt idx="12">
                  <c:v>#N/A</c:v>
                </c:pt>
                <c:pt idx="13">
                  <c:v>#N/A</c:v>
                </c:pt>
                <c:pt idx="14">
                  <c:v>#N/A</c:v>
                </c:pt>
                <c:pt idx="15">
                  <c:v>#N/A</c:v>
                </c:pt>
                <c:pt idx="16">
                  <c:v>#N/A</c:v>
                </c:pt>
                <c:pt idx="17">
                  <c:v>42644</c:v>
                </c:pt>
                <c:pt idx="18">
                  <c:v>42705</c:v>
                </c:pt>
                <c:pt idx="19">
                  <c:v>42705</c:v>
                </c:pt>
                <c:pt idx="20">
                  <c:v>#N/A</c:v>
                </c:pt>
                <c:pt idx="21">
                  <c:v>42767</c:v>
                </c:pt>
                <c:pt idx="22">
                  <c:v>#N/A</c:v>
                </c:pt>
                <c:pt idx="23">
                  <c:v>#N/A</c:v>
                </c:pt>
                <c:pt idx="24">
                  <c:v>#N/A</c:v>
                </c:pt>
                <c:pt idx="25">
                  <c:v>#N/A</c:v>
                </c:pt>
                <c:pt idx="26">
                  <c:v>#N/A</c:v>
                </c:pt>
                <c:pt idx="27">
                  <c:v>#N/A</c:v>
                </c:pt>
                <c:pt idx="28">
                  <c:v>#N/A</c:v>
                </c:pt>
                <c:pt idx="29">
                  <c:v>#N/A</c:v>
                </c:pt>
                <c:pt idx="30">
                  <c:v>#N/A</c:v>
                </c:pt>
                <c:pt idx="31">
                  <c:v>#N/A</c:v>
                </c:pt>
                <c:pt idx="32">
                  <c:v>#N/A</c:v>
                </c:pt>
                <c:pt idx="33">
                  <c:v>#N/A</c:v>
                </c:pt>
                <c:pt idx="34">
                  <c:v>43344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44044</c:v>
                </c:pt>
                <c:pt idx="56">
                  <c:v>44044</c:v>
                </c:pt>
                <c:pt idx="57">
                  <c:v>#N/A</c:v>
                </c:pt>
                <c:pt idx="58">
                  <c:v>#N/A</c:v>
                </c:pt>
                <c:pt idx="59">
                  <c:v>#N/A</c:v>
                </c:pt>
                <c:pt idx="60">
                  <c:v>#N/A</c:v>
                </c:pt>
                <c:pt idx="61">
                  <c:v>44228</c:v>
                </c:pt>
                <c:pt idx="62">
                  <c:v>#N/A</c:v>
                </c:pt>
                <c:pt idx="63">
                  <c:v>#N/A</c:v>
                </c:pt>
                <c:pt idx="64">
                  <c:v>#N/A</c:v>
                </c:pt>
                <c:pt idx="65">
                  <c:v>#N/A</c:v>
                </c:pt>
                <c:pt idx="66">
                  <c:v>#N/A</c:v>
                </c:pt>
                <c:pt idx="67">
                  <c:v>#N/A</c:v>
                </c:pt>
                <c:pt idx="68">
                  <c:v>44256</c:v>
                </c:pt>
                <c:pt idx="69">
                  <c:v>#N/A</c:v>
                </c:pt>
                <c:pt idx="70">
                  <c:v>44317</c:v>
                </c:pt>
                <c:pt idx="71">
                  <c:v>#N/A</c:v>
                </c:pt>
                <c:pt idx="72">
                  <c:v>#N/A</c:v>
                </c:pt>
                <c:pt idx="73">
                  <c:v>#N/A</c:v>
                </c:pt>
                <c:pt idx="74">
                  <c:v>#N/A</c:v>
                </c:pt>
                <c:pt idx="75">
                  <c:v>#N/A</c:v>
                </c:pt>
                <c:pt idx="76">
                  <c:v>44440</c:v>
                </c:pt>
                <c:pt idx="77">
                  <c:v>#N/A</c:v>
                </c:pt>
                <c:pt idx="78">
                  <c:v>#N/A</c:v>
                </c:pt>
                <c:pt idx="79">
                  <c:v>44531</c:v>
                </c:pt>
                <c:pt idx="80">
                  <c:v>44531</c:v>
                </c:pt>
                <c:pt idx="81">
                  <c:v>44531</c:v>
                </c:pt>
                <c:pt idx="82">
                  <c:v>44531</c:v>
                </c:pt>
                <c:pt idx="83">
                  <c:v>#N/A</c:v>
                </c:pt>
                <c:pt idx="84">
                  <c:v>#N/A</c:v>
                </c:pt>
                <c:pt idx="85">
                  <c:v>#N/A</c:v>
                </c:pt>
                <c:pt idx="86">
                  <c:v>#N/A</c:v>
                </c:pt>
                <c:pt idx="87">
                  <c:v>44562</c:v>
                </c:pt>
                <c:pt idx="88">
                  <c:v>#N/A</c:v>
                </c:pt>
                <c:pt idx="89">
                  <c:v>#N/A</c:v>
                </c:pt>
                <c:pt idx="90">
                  <c:v>#N/A</c:v>
                </c:pt>
                <c:pt idx="91">
                  <c:v>#N/A</c:v>
                </c:pt>
                <c:pt idx="92">
                  <c:v>#N/A</c:v>
                </c:pt>
                <c:pt idx="93">
                  <c:v>#N/A</c:v>
                </c:pt>
                <c:pt idx="94">
                  <c:v>#N/A</c:v>
                </c:pt>
                <c:pt idx="95">
                  <c:v>44593</c:v>
                </c:pt>
                <c:pt idx="96">
                  <c:v>44593</c:v>
                </c:pt>
                <c:pt idx="97">
                  <c:v>#N/A</c:v>
                </c:pt>
                <c:pt idx="98">
                  <c:v>44593</c:v>
                </c:pt>
                <c:pt idx="99">
                  <c:v>#N/A</c:v>
                </c:pt>
                <c:pt idx="100">
                  <c:v>#N/A</c:v>
                </c:pt>
                <c:pt idx="101">
                  <c:v>#N/A</c:v>
                </c:pt>
                <c:pt idx="102">
                  <c:v>44713</c:v>
                </c:pt>
                <c:pt idx="103">
                  <c:v>#N/A</c:v>
                </c:pt>
                <c:pt idx="104">
                  <c:v>#N/A</c:v>
                </c:pt>
                <c:pt idx="105">
                  <c:v>44713</c:v>
                </c:pt>
                <c:pt idx="106">
                  <c:v>#N/A</c:v>
                </c:pt>
                <c:pt idx="107">
                  <c:v>#N/A</c:v>
                </c:pt>
                <c:pt idx="108">
                  <c:v>44743</c:v>
                </c:pt>
                <c:pt idx="109">
                  <c:v>#N/A</c:v>
                </c:pt>
                <c:pt idx="110">
                  <c:v>#N/A</c:v>
                </c:pt>
                <c:pt idx="111">
                  <c:v>44805</c:v>
                </c:pt>
                <c:pt idx="112">
                  <c:v>#N/A</c:v>
                </c:pt>
                <c:pt idx="113">
                  <c:v>#N/A</c:v>
                </c:pt>
                <c:pt idx="114">
                  <c:v>#N/A</c:v>
                </c:pt>
                <c:pt idx="115">
                  <c:v>44835</c:v>
                </c:pt>
                <c:pt idx="116">
                  <c:v>#N/A</c:v>
                </c:pt>
                <c:pt idx="117">
                  <c:v>#N/A</c:v>
                </c:pt>
                <c:pt idx="118">
                  <c:v>#N/A</c:v>
                </c:pt>
                <c:pt idx="119">
                  <c:v>#N/A</c:v>
                </c:pt>
                <c:pt idx="120">
                  <c:v>#N/A</c:v>
                </c:pt>
                <c:pt idx="121">
                  <c:v>#N/A</c:v>
                </c:pt>
                <c:pt idx="122">
                  <c:v>#N/A</c:v>
                </c:pt>
                <c:pt idx="123">
                  <c:v>#N/A</c:v>
                </c:pt>
                <c:pt idx="124">
                  <c:v>44896</c:v>
                </c:pt>
                <c:pt idx="125">
                  <c:v>44896</c:v>
                </c:pt>
                <c:pt idx="126">
                  <c:v>#N/A</c:v>
                </c:pt>
                <c:pt idx="127">
                  <c:v>#N/A</c:v>
                </c:pt>
                <c:pt idx="128">
                  <c:v>44927</c:v>
                </c:pt>
                <c:pt idx="129">
                  <c:v>44958</c:v>
                </c:pt>
                <c:pt idx="130">
                  <c:v>44958</c:v>
                </c:pt>
                <c:pt idx="131">
                  <c:v>#N/A</c:v>
                </c:pt>
                <c:pt idx="132">
                  <c:v>#N/A</c:v>
                </c:pt>
                <c:pt idx="133">
                  <c:v>#N/A</c:v>
                </c:pt>
                <c:pt idx="134">
                  <c:v>#N/A</c:v>
                </c:pt>
                <c:pt idx="135">
                  <c:v>44958</c:v>
                </c:pt>
                <c:pt idx="136">
                  <c:v>44958</c:v>
                </c:pt>
                <c:pt idx="137">
                  <c:v>#N/A</c:v>
                </c:pt>
                <c:pt idx="138">
                  <c:v>#N/A</c:v>
                </c:pt>
                <c:pt idx="139">
                  <c:v>#N/A</c:v>
                </c:pt>
                <c:pt idx="140">
                  <c:v>#N/A</c:v>
                </c:pt>
                <c:pt idx="141">
                  <c:v>#N/A</c:v>
                </c:pt>
                <c:pt idx="142">
                  <c:v>#N/A</c:v>
                </c:pt>
                <c:pt idx="143">
                  <c:v>#N/A</c:v>
                </c:pt>
                <c:pt idx="144">
                  <c:v>#N/A</c:v>
                </c:pt>
                <c:pt idx="145">
                  <c:v>#N/A</c:v>
                </c:pt>
              </c:numCache>
            </c:numRef>
          </c:xVal>
          <c:yVal>
            <c:numRef>
              <c:f>Plot_data_time!$G$2:$G$147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64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4</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1</c:v>
                </c:pt>
                <c:pt idx="130">
                  <c:v>#N/A</c:v>
                </c:pt>
                <c:pt idx="131">
                  <c:v>#N/A</c:v>
                </c:pt>
                <c:pt idx="132">
                  <c:v>#N/A</c:v>
                </c:pt>
                <c:pt idx="133">
                  <c:v>#N/A</c:v>
                </c:pt>
                <c:pt idx="134">
                  <c:v>#N/A</c:v>
                </c:pt>
                <c:pt idx="135">
                  <c:v>#N/A</c:v>
                </c:pt>
                <c:pt idx="136">
                  <c:v>1</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5-2C9B-4F81-8564-F87B50377741}"/>
            </c:ext>
          </c:extLst>
        </c:ser>
        <c:ser>
          <c:idx val="4"/>
          <c:order val="4"/>
          <c:tx>
            <c:v>TX 110-170GHz</c:v>
          </c:tx>
          <c:spPr>
            <a:ln w="25400" cap="rnd">
              <a:noFill/>
              <a:round/>
            </a:ln>
            <a:effectLst/>
          </c:spPr>
          <c:marker>
            <c:symbol val="circle"/>
            <c:size val="7"/>
            <c:spPr>
              <a:solidFill>
                <a:srgbClr val="7030A0">
                  <a:alpha val="75000"/>
                </a:srgbClr>
              </a:solidFill>
              <a:ln w="9525">
                <a:noFill/>
              </a:ln>
              <a:effectLst/>
            </c:spPr>
          </c:marker>
          <c:xVal>
            <c:numRef>
              <c:f>Plot_data_time!$B$2:$B$147</c:f>
              <c:numCache>
                <c:formatCode>m/d/yy</c:formatCode>
                <c:ptCount val="146"/>
                <c:pt idx="0">
                  <c:v>40513</c:v>
                </c:pt>
                <c:pt idx="1">
                  <c:v>#N/A</c:v>
                </c:pt>
                <c:pt idx="2">
                  <c:v>#N/A</c:v>
                </c:pt>
                <c:pt idx="3">
                  <c:v>#N/A</c:v>
                </c:pt>
                <c:pt idx="4">
                  <c:v>41061</c:v>
                </c:pt>
                <c:pt idx="5">
                  <c:v>#N/A</c:v>
                </c:pt>
                <c:pt idx="6">
                  <c:v>#N/A</c:v>
                </c:pt>
                <c:pt idx="7">
                  <c:v>#N/A</c:v>
                </c:pt>
                <c:pt idx="8">
                  <c:v>#N/A</c:v>
                </c:pt>
                <c:pt idx="9">
                  <c:v>#N/A</c:v>
                </c:pt>
                <c:pt idx="10">
                  <c:v>#N/A</c:v>
                </c:pt>
                <c:pt idx="11">
                  <c:v>#N/A</c:v>
                </c:pt>
                <c:pt idx="12">
                  <c:v>#N/A</c:v>
                </c:pt>
                <c:pt idx="13">
                  <c:v>#N/A</c:v>
                </c:pt>
                <c:pt idx="14">
                  <c:v>#N/A</c:v>
                </c:pt>
                <c:pt idx="15">
                  <c:v>#N/A</c:v>
                </c:pt>
                <c:pt idx="16">
                  <c:v>#N/A</c:v>
                </c:pt>
                <c:pt idx="17">
                  <c:v>42644</c:v>
                </c:pt>
                <c:pt idx="18">
                  <c:v>42705</c:v>
                </c:pt>
                <c:pt idx="19">
                  <c:v>42705</c:v>
                </c:pt>
                <c:pt idx="20">
                  <c:v>#N/A</c:v>
                </c:pt>
                <c:pt idx="21">
                  <c:v>42767</c:v>
                </c:pt>
                <c:pt idx="22">
                  <c:v>#N/A</c:v>
                </c:pt>
                <c:pt idx="23">
                  <c:v>#N/A</c:v>
                </c:pt>
                <c:pt idx="24">
                  <c:v>#N/A</c:v>
                </c:pt>
                <c:pt idx="25">
                  <c:v>#N/A</c:v>
                </c:pt>
                <c:pt idx="26">
                  <c:v>#N/A</c:v>
                </c:pt>
                <c:pt idx="27">
                  <c:v>#N/A</c:v>
                </c:pt>
                <c:pt idx="28">
                  <c:v>#N/A</c:v>
                </c:pt>
                <c:pt idx="29">
                  <c:v>#N/A</c:v>
                </c:pt>
                <c:pt idx="30">
                  <c:v>#N/A</c:v>
                </c:pt>
                <c:pt idx="31">
                  <c:v>#N/A</c:v>
                </c:pt>
                <c:pt idx="32">
                  <c:v>#N/A</c:v>
                </c:pt>
                <c:pt idx="33">
                  <c:v>#N/A</c:v>
                </c:pt>
                <c:pt idx="34">
                  <c:v>43344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44044</c:v>
                </c:pt>
                <c:pt idx="56">
                  <c:v>44044</c:v>
                </c:pt>
                <c:pt idx="57">
                  <c:v>#N/A</c:v>
                </c:pt>
                <c:pt idx="58">
                  <c:v>#N/A</c:v>
                </c:pt>
                <c:pt idx="59">
                  <c:v>#N/A</c:v>
                </c:pt>
                <c:pt idx="60">
                  <c:v>#N/A</c:v>
                </c:pt>
                <c:pt idx="61">
                  <c:v>44228</c:v>
                </c:pt>
                <c:pt idx="62">
                  <c:v>#N/A</c:v>
                </c:pt>
                <c:pt idx="63">
                  <c:v>#N/A</c:v>
                </c:pt>
                <c:pt idx="64">
                  <c:v>#N/A</c:v>
                </c:pt>
                <c:pt idx="65">
                  <c:v>#N/A</c:v>
                </c:pt>
                <c:pt idx="66">
                  <c:v>#N/A</c:v>
                </c:pt>
                <c:pt idx="67">
                  <c:v>#N/A</c:v>
                </c:pt>
                <c:pt idx="68">
                  <c:v>44256</c:v>
                </c:pt>
                <c:pt idx="69">
                  <c:v>#N/A</c:v>
                </c:pt>
                <c:pt idx="70">
                  <c:v>44317</c:v>
                </c:pt>
                <c:pt idx="71">
                  <c:v>#N/A</c:v>
                </c:pt>
                <c:pt idx="72">
                  <c:v>#N/A</c:v>
                </c:pt>
                <c:pt idx="73">
                  <c:v>#N/A</c:v>
                </c:pt>
                <c:pt idx="74">
                  <c:v>#N/A</c:v>
                </c:pt>
                <c:pt idx="75">
                  <c:v>#N/A</c:v>
                </c:pt>
                <c:pt idx="76">
                  <c:v>44440</c:v>
                </c:pt>
                <c:pt idx="77">
                  <c:v>#N/A</c:v>
                </c:pt>
                <c:pt idx="78">
                  <c:v>#N/A</c:v>
                </c:pt>
                <c:pt idx="79">
                  <c:v>44531</c:v>
                </c:pt>
                <c:pt idx="80">
                  <c:v>44531</c:v>
                </c:pt>
                <c:pt idx="81">
                  <c:v>44531</c:v>
                </c:pt>
                <c:pt idx="82">
                  <c:v>44531</c:v>
                </c:pt>
                <c:pt idx="83">
                  <c:v>#N/A</c:v>
                </c:pt>
                <c:pt idx="84">
                  <c:v>#N/A</c:v>
                </c:pt>
                <c:pt idx="85">
                  <c:v>#N/A</c:v>
                </c:pt>
                <c:pt idx="86">
                  <c:v>#N/A</c:v>
                </c:pt>
                <c:pt idx="87">
                  <c:v>44562</c:v>
                </c:pt>
                <c:pt idx="88">
                  <c:v>#N/A</c:v>
                </c:pt>
                <c:pt idx="89">
                  <c:v>#N/A</c:v>
                </c:pt>
                <c:pt idx="90">
                  <c:v>#N/A</c:v>
                </c:pt>
                <c:pt idx="91">
                  <c:v>#N/A</c:v>
                </c:pt>
                <c:pt idx="92">
                  <c:v>#N/A</c:v>
                </c:pt>
                <c:pt idx="93">
                  <c:v>#N/A</c:v>
                </c:pt>
                <c:pt idx="94">
                  <c:v>#N/A</c:v>
                </c:pt>
                <c:pt idx="95">
                  <c:v>44593</c:v>
                </c:pt>
                <c:pt idx="96">
                  <c:v>44593</c:v>
                </c:pt>
                <c:pt idx="97">
                  <c:v>#N/A</c:v>
                </c:pt>
                <c:pt idx="98">
                  <c:v>44593</c:v>
                </c:pt>
                <c:pt idx="99">
                  <c:v>#N/A</c:v>
                </c:pt>
                <c:pt idx="100">
                  <c:v>#N/A</c:v>
                </c:pt>
                <c:pt idx="101">
                  <c:v>#N/A</c:v>
                </c:pt>
                <c:pt idx="102">
                  <c:v>44713</c:v>
                </c:pt>
                <c:pt idx="103">
                  <c:v>#N/A</c:v>
                </c:pt>
                <c:pt idx="104">
                  <c:v>#N/A</c:v>
                </c:pt>
                <c:pt idx="105">
                  <c:v>44713</c:v>
                </c:pt>
                <c:pt idx="106">
                  <c:v>#N/A</c:v>
                </c:pt>
                <c:pt idx="107">
                  <c:v>#N/A</c:v>
                </c:pt>
                <c:pt idx="108">
                  <c:v>44743</c:v>
                </c:pt>
                <c:pt idx="109">
                  <c:v>#N/A</c:v>
                </c:pt>
                <c:pt idx="110">
                  <c:v>#N/A</c:v>
                </c:pt>
                <c:pt idx="111">
                  <c:v>44805</c:v>
                </c:pt>
                <c:pt idx="112">
                  <c:v>#N/A</c:v>
                </c:pt>
                <c:pt idx="113">
                  <c:v>#N/A</c:v>
                </c:pt>
                <c:pt idx="114">
                  <c:v>#N/A</c:v>
                </c:pt>
                <c:pt idx="115">
                  <c:v>44835</c:v>
                </c:pt>
                <c:pt idx="116">
                  <c:v>#N/A</c:v>
                </c:pt>
                <c:pt idx="117">
                  <c:v>#N/A</c:v>
                </c:pt>
                <c:pt idx="118">
                  <c:v>#N/A</c:v>
                </c:pt>
                <c:pt idx="119">
                  <c:v>#N/A</c:v>
                </c:pt>
                <c:pt idx="120">
                  <c:v>#N/A</c:v>
                </c:pt>
                <c:pt idx="121">
                  <c:v>#N/A</c:v>
                </c:pt>
                <c:pt idx="122">
                  <c:v>#N/A</c:v>
                </c:pt>
                <c:pt idx="123">
                  <c:v>#N/A</c:v>
                </c:pt>
                <c:pt idx="124">
                  <c:v>44896</c:v>
                </c:pt>
                <c:pt idx="125">
                  <c:v>44896</c:v>
                </c:pt>
                <c:pt idx="126">
                  <c:v>#N/A</c:v>
                </c:pt>
                <c:pt idx="127">
                  <c:v>#N/A</c:v>
                </c:pt>
                <c:pt idx="128">
                  <c:v>44927</c:v>
                </c:pt>
                <c:pt idx="129">
                  <c:v>44958</c:v>
                </c:pt>
                <c:pt idx="130">
                  <c:v>44958</c:v>
                </c:pt>
                <c:pt idx="131">
                  <c:v>#N/A</c:v>
                </c:pt>
                <c:pt idx="132">
                  <c:v>#N/A</c:v>
                </c:pt>
                <c:pt idx="133">
                  <c:v>#N/A</c:v>
                </c:pt>
                <c:pt idx="134">
                  <c:v>#N/A</c:v>
                </c:pt>
                <c:pt idx="135">
                  <c:v>44958</c:v>
                </c:pt>
                <c:pt idx="136">
                  <c:v>44958</c:v>
                </c:pt>
                <c:pt idx="137">
                  <c:v>#N/A</c:v>
                </c:pt>
                <c:pt idx="138">
                  <c:v>#N/A</c:v>
                </c:pt>
                <c:pt idx="139">
                  <c:v>#N/A</c:v>
                </c:pt>
                <c:pt idx="140">
                  <c:v>#N/A</c:v>
                </c:pt>
                <c:pt idx="141">
                  <c:v>#N/A</c:v>
                </c:pt>
                <c:pt idx="142">
                  <c:v>#N/A</c:v>
                </c:pt>
                <c:pt idx="143">
                  <c:v>#N/A</c:v>
                </c:pt>
                <c:pt idx="144">
                  <c:v>#N/A</c:v>
                </c:pt>
                <c:pt idx="145">
                  <c:v>#N/A</c:v>
                </c:pt>
              </c:numCache>
            </c:numRef>
          </c:xVal>
          <c:yVal>
            <c:numRef>
              <c:f>Plot_data_time!$H$2:$H$147</c:f>
              <c:numCache>
                <c:formatCode>General</c:formatCode>
                <c:ptCount val="146"/>
                <c:pt idx="0">
                  <c:v>#N/A</c:v>
                </c:pt>
                <c:pt idx="1">
                  <c:v>#N/A</c:v>
                </c:pt>
                <c:pt idx="2">
                  <c:v>#N/A</c:v>
                </c:pt>
                <c:pt idx="3">
                  <c:v>#N/A</c:v>
                </c:pt>
                <c:pt idx="4">
                  <c:v>16</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128</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1</c:v>
                </c:pt>
                <c:pt idx="96">
                  <c:v>8</c:v>
                </c:pt>
                <c:pt idx="97">
                  <c:v>#N/A</c:v>
                </c:pt>
                <c:pt idx="98">
                  <c:v>256</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16</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6-2C9B-4F81-8564-F87B50377741}"/>
            </c:ext>
          </c:extLst>
        </c:ser>
        <c:ser>
          <c:idx val="5"/>
          <c:order val="5"/>
          <c:tx>
            <c:v>TX 170-260GHz</c:v>
          </c:tx>
          <c:spPr>
            <a:ln w="25400" cap="rnd">
              <a:noFill/>
              <a:round/>
            </a:ln>
            <a:effectLst/>
          </c:spPr>
          <c:marker>
            <c:symbol val="circle"/>
            <c:size val="7"/>
            <c:spPr>
              <a:solidFill>
                <a:srgbClr val="FF3399">
                  <a:alpha val="75000"/>
                </a:srgbClr>
              </a:solidFill>
              <a:ln w="9525">
                <a:noFill/>
              </a:ln>
              <a:effectLst/>
            </c:spPr>
          </c:marker>
          <c:xVal>
            <c:numRef>
              <c:f>Plot_data_time!$B$2:$B$147</c:f>
              <c:numCache>
                <c:formatCode>m/d/yy</c:formatCode>
                <c:ptCount val="146"/>
                <c:pt idx="0">
                  <c:v>40513</c:v>
                </c:pt>
                <c:pt idx="1">
                  <c:v>#N/A</c:v>
                </c:pt>
                <c:pt idx="2">
                  <c:v>#N/A</c:v>
                </c:pt>
                <c:pt idx="3">
                  <c:v>#N/A</c:v>
                </c:pt>
                <c:pt idx="4">
                  <c:v>41061</c:v>
                </c:pt>
                <c:pt idx="5">
                  <c:v>#N/A</c:v>
                </c:pt>
                <c:pt idx="6">
                  <c:v>#N/A</c:v>
                </c:pt>
                <c:pt idx="7">
                  <c:v>#N/A</c:v>
                </c:pt>
                <c:pt idx="8">
                  <c:v>#N/A</c:v>
                </c:pt>
                <c:pt idx="9">
                  <c:v>#N/A</c:v>
                </c:pt>
                <c:pt idx="10">
                  <c:v>#N/A</c:v>
                </c:pt>
                <c:pt idx="11">
                  <c:v>#N/A</c:v>
                </c:pt>
                <c:pt idx="12">
                  <c:v>#N/A</c:v>
                </c:pt>
                <c:pt idx="13">
                  <c:v>#N/A</c:v>
                </c:pt>
                <c:pt idx="14">
                  <c:v>#N/A</c:v>
                </c:pt>
                <c:pt idx="15">
                  <c:v>#N/A</c:v>
                </c:pt>
                <c:pt idx="16">
                  <c:v>#N/A</c:v>
                </c:pt>
                <c:pt idx="17">
                  <c:v>42644</c:v>
                </c:pt>
                <c:pt idx="18">
                  <c:v>42705</c:v>
                </c:pt>
                <c:pt idx="19">
                  <c:v>42705</c:v>
                </c:pt>
                <c:pt idx="20">
                  <c:v>#N/A</c:v>
                </c:pt>
                <c:pt idx="21">
                  <c:v>42767</c:v>
                </c:pt>
                <c:pt idx="22">
                  <c:v>#N/A</c:v>
                </c:pt>
                <c:pt idx="23">
                  <c:v>#N/A</c:v>
                </c:pt>
                <c:pt idx="24">
                  <c:v>#N/A</c:v>
                </c:pt>
                <c:pt idx="25">
                  <c:v>#N/A</c:v>
                </c:pt>
                <c:pt idx="26">
                  <c:v>#N/A</c:v>
                </c:pt>
                <c:pt idx="27">
                  <c:v>#N/A</c:v>
                </c:pt>
                <c:pt idx="28">
                  <c:v>#N/A</c:v>
                </c:pt>
                <c:pt idx="29">
                  <c:v>#N/A</c:v>
                </c:pt>
                <c:pt idx="30">
                  <c:v>#N/A</c:v>
                </c:pt>
                <c:pt idx="31">
                  <c:v>#N/A</c:v>
                </c:pt>
                <c:pt idx="32">
                  <c:v>#N/A</c:v>
                </c:pt>
                <c:pt idx="33">
                  <c:v>#N/A</c:v>
                </c:pt>
                <c:pt idx="34">
                  <c:v>43344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44044</c:v>
                </c:pt>
                <c:pt idx="56">
                  <c:v>44044</c:v>
                </c:pt>
                <c:pt idx="57">
                  <c:v>#N/A</c:v>
                </c:pt>
                <c:pt idx="58">
                  <c:v>#N/A</c:v>
                </c:pt>
                <c:pt idx="59">
                  <c:v>#N/A</c:v>
                </c:pt>
                <c:pt idx="60">
                  <c:v>#N/A</c:v>
                </c:pt>
                <c:pt idx="61">
                  <c:v>44228</c:v>
                </c:pt>
                <c:pt idx="62">
                  <c:v>#N/A</c:v>
                </c:pt>
                <c:pt idx="63">
                  <c:v>#N/A</c:v>
                </c:pt>
                <c:pt idx="64">
                  <c:v>#N/A</c:v>
                </c:pt>
                <c:pt idx="65">
                  <c:v>#N/A</c:v>
                </c:pt>
                <c:pt idx="66">
                  <c:v>#N/A</c:v>
                </c:pt>
                <c:pt idx="67">
                  <c:v>#N/A</c:v>
                </c:pt>
                <c:pt idx="68">
                  <c:v>44256</c:v>
                </c:pt>
                <c:pt idx="69">
                  <c:v>#N/A</c:v>
                </c:pt>
                <c:pt idx="70">
                  <c:v>44317</c:v>
                </c:pt>
                <c:pt idx="71">
                  <c:v>#N/A</c:v>
                </c:pt>
                <c:pt idx="72">
                  <c:v>#N/A</c:v>
                </c:pt>
                <c:pt idx="73">
                  <c:v>#N/A</c:v>
                </c:pt>
                <c:pt idx="74">
                  <c:v>#N/A</c:v>
                </c:pt>
                <c:pt idx="75">
                  <c:v>#N/A</c:v>
                </c:pt>
                <c:pt idx="76">
                  <c:v>44440</c:v>
                </c:pt>
                <c:pt idx="77">
                  <c:v>#N/A</c:v>
                </c:pt>
                <c:pt idx="78">
                  <c:v>#N/A</c:v>
                </c:pt>
                <c:pt idx="79">
                  <c:v>44531</c:v>
                </c:pt>
                <c:pt idx="80">
                  <c:v>44531</c:v>
                </c:pt>
                <c:pt idx="81">
                  <c:v>44531</c:v>
                </c:pt>
                <c:pt idx="82">
                  <c:v>44531</c:v>
                </c:pt>
                <c:pt idx="83">
                  <c:v>#N/A</c:v>
                </c:pt>
                <c:pt idx="84">
                  <c:v>#N/A</c:v>
                </c:pt>
                <c:pt idx="85">
                  <c:v>#N/A</c:v>
                </c:pt>
                <c:pt idx="86">
                  <c:v>#N/A</c:v>
                </c:pt>
                <c:pt idx="87">
                  <c:v>44562</c:v>
                </c:pt>
                <c:pt idx="88">
                  <c:v>#N/A</c:v>
                </c:pt>
                <c:pt idx="89">
                  <c:v>#N/A</c:v>
                </c:pt>
                <c:pt idx="90">
                  <c:v>#N/A</c:v>
                </c:pt>
                <c:pt idx="91">
                  <c:v>#N/A</c:v>
                </c:pt>
                <c:pt idx="92">
                  <c:v>#N/A</c:v>
                </c:pt>
                <c:pt idx="93">
                  <c:v>#N/A</c:v>
                </c:pt>
                <c:pt idx="94">
                  <c:v>#N/A</c:v>
                </c:pt>
                <c:pt idx="95">
                  <c:v>44593</c:v>
                </c:pt>
                <c:pt idx="96">
                  <c:v>44593</c:v>
                </c:pt>
                <c:pt idx="97">
                  <c:v>#N/A</c:v>
                </c:pt>
                <c:pt idx="98">
                  <c:v>44593</c:v>
                </c:pt>
                <c:pt idx="99">
                  <c:v>#N/A</c:v>
                </c:pt>
                <c:pt idx="100">
                  <c:v>#N/A</c:v>
                </c:pt>
                <c:pt idx="101">
                  <c:v>#N/A</c:v>
                </c:pt>
                <c:pt idx="102">
                  <c:v>44713</c:v>
                </c:pt>
                <c:pt idx="103">
                  <c:v>#N/A</c:v>
                </c:pt>
                <c:pt idx="104">
                  <c:v>#N/A</c:v>
                </c:pt>
                <c:pt idx="105">
                  <c:v>44713</c:v>
                </c:pt>
                <c:pt idx="106">
                  <c:v>#N/A</c:v>
                </c:pt>
                <c:pt idx="107">
                  <c:v>#N/A</c:v>
                </c:pt>
                <c:pt idx="108">
                  <c:v>44743</c:v>
                </c:pt>
                <c:pt idx="109">
                  <c:v>#N/A</c:v>
                </c:pt>
                <c:pt idx="110">
                  <c:v>#N/A</c:v>
                </c:pt>
                <c:pt idx="111">
                  <c:v>44805</c:v>
                </c:pt>
                <c:pt idx="112">
                  <c:v>#N/A</c:v>
                </c:pt>
                <c:pt idx="113">
                  <c:v>#N/A</c:v>
                </c:pt>
                <c:pt idx="114">
                  <c:v>#N/A</c:v>
                </c:pt>
                <c:pt idx="115">
                  <c:v>44835</c:v>
                </c:pt>
                <c:pt idx="116">
                  <c:v>#N/A</c:v>
                </c:pt>
                <c:pt idx="117">
                  <c:v>#N/A</c:v>
                </c:pt>
                <c:pt idx="118">
                  <c:v>#N/A</c:v>
                </c:pt>
                <c:pt idx="119">
                  <c:v>#N/A</c:v>
                </c:pt>
                <c:pt idx="120">
                  <c:v>#N/A</c:v>
                </c:pt>
                <c:pt idx="121">
                  <c:v>#N/A</c:v>
                </c:pt>
                <c:pt idx="122">
                  <c:v>#N/A</c:v>
                </c:pt>
                <c:pt idx="123">
                  <c:v>#N/A</c:v>
                </c:pt>
                <c:pt idx="124">
                  <c:v>44896</c:v>
                </c:pt>
                <c:pt idx="125">
                  <c:v>44896</c:v>
                </c:pt>
                <c:pt idx="126">
                  <c:v>#N/A</c:v>
                </c:pt>
                <c:pt idx="127">
                  <c:v>#N/A</c:v>
                </c:pt>
                <c:pt idx="128">
                  <c:v>44927</c:v>
                </c:pt>
                <c:pt idx="129">
                  <c:v>44958</c:v>
                </c:pt>
                <c:pt idx="130">
                  <c:v>44958</c:v>
                </c:pt>
                <c:pt idx="131">
                  <c:v>#N/A</c:v>
                </c:pt>
                <c:pt idx="132">
                  <c:v>#N/A</c:v>
                </c:pt>
                <c:pt idx="133">
                  <c:v>#N/A</c:v>
                </c:pt>
                <c:pt idx="134">
                  <c:v>#N/A</c:v>
                </c:pt>
                <c:pt idx="135">
                  <c:v>44958</c:v>
                </c:pt>
                <c:pt idx="136">
                  <c:v>44958</c:v>
                </c:pt>
                <c:pt idx="137">
                  <c:v>#N/A</c:v>
                </c:pt>
                <c:pt idx="138">
                  <c:v>#N/A</c:v>
                </c:pt>
                <c:pt idx="139">
                  <c:v>#N/A</c:v>
                </c:pt>
                <c:pt idx="140">
                  <c:v>#N/A</c:v>
                </c:pt>
                <c:pt idx="141">
                  <c:v>#N/A</c:v>
                </c:pt>
                <c:pt idx="142">
                  <c:v>#N/A</c:v>
                </c:pt>
                <c:pt idx="143">
                  <c:v>#N/A</c:v>
                </c:pt>
                <c:pt idx="144">
                  <c:v>#N/A</c:v>
                </c:pt>
                <c:pt idx="145">
                  <c:v>#N/A</c:v>
                </c:pt>
              </c:numCache>
            </c:numRef>
          </c:xVal>
          <c:yVal>
            <c:numRef>
              <c:f>Plot_data_time!$I$2:$I$147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1</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7-2C9B-4F81-8564-F87B50377741}"/>
            </c:ext>
          </c:extLst>
        </c:ser>
        <c:ser>
          <c:idx val="6"/>
          <c:order val="6"/>
          <c:tx>
            <c:v>TX &gt;260GHz</c:v>
          </c:tx>
          <c:spPr>
            <a:ln w="25400" cap="rnd">
              <a:noFill/>
              <a:round/>
            </a:ln>
            <a:effectLst/>
          </c:spPr>
          <c:marker>
            <c:symbol val="circle"/>
            <c:size val="7"/>
            <c:spPr>
              <a:solidFill>
                <a:srgbClr val="002060">
                  <a:alpha val="75000"/>
                </a:srgbClr>
              </a:solidFill>
              <a:ln w="9525">
                <a:noFill/>
              </a:ln>
              <a:effectLst/>
            </c:spPr>
          </c:marker>
          <c:xVal>
            <c:numRef>
              <c:f>Plot_data_time!$B$2:$B$147</c:f>
              <c:numCache>
                <c:formatCode>m/d/yy</c:formatCode>
                <c:ptCount val="146"/>
                <c:pt idx="0">
                  <c:v>40513</c:v>
                </c:pt>
                <c:pt idx="1">
                  <c:v>#N/A</c:v>
                </c:pt>
                <c:pt idx="2">
                  <c:v>#N/A</c:v>
                </c:pt>
                <c:pt idx="3">
                  <c:v>#N/A</c:v>
                </c:pt>
                <c:pt idx="4">
                  <c:v>41061</c:v>
                </c:pt>
                <c:pt idx="5">
                  <c:v>#N/A</c:v>
                </c:pt>
                <c:pt idx="6">
                  <c:v>#N/A</c:v>
                </c:pt>
                <c:pt idx="7">
                  <c:v>#N/A</c:v>
                </c:pt>
                <c:pt idx="8">
                  <c:v>#N/A</c:v>
                </c:pt>
                <c:pt idx="9">
                  <c:v>#N/A</c:v>
                </c:pt>
                <c:pt idx="10">
                  <c:v>#N/A</c:v>
                </c:pt>
                <c:pt idx="11">
                  <c:v>#N/A</c:v>
                </c:pt>
                <c:pt idx="12">
                  <c:v>#N/A</c:v>
                </c:pt>
                <c:pt idx="13">
                  <c:v>#N/A</c:v>
                </c:pt>
                <c:pt idx="14">
                  <c:v>#N/A</c:v>
                </c:pt>
                <c:pt idx="15">
                  <c:v>#N/A</c:v>
                </c:pt>
                <c:pt idx="16">
                  <c:v>#N/A</c:v>
                </c:pt>
                <c:pt idx="17">
                  <c:v>42644</c:v>
                </c:pt>
                <c:pt idx="18">
                  <c:v>42705</c:v>
                </c:pt>
                <c:pt idx="19">
                  <c:v>42705</c:v>
                </c:pt>
                <c:pt idx="20">
                  <c:v>#N/A</c:v>
                </c:pt>
                <c:pt idx="21">
                  <c:v>42767</c:v>
                </c:pt>
                <c:pt idx="22">
                  <c:v>#N/A</c:v>
                </c:pt>
                <c:pt idx="23">
                  <c:v>#N/A</c:v>
                </c:pt>
                <c:pt idx="24">
                  <c:v>#N/A</c:v>
                </c:pt>
                <c:pt idx="25">
                  <c:v>#N/A</c:v>
                </c:pt>
                <c:pt idx="26">
                  <c:v>#N/A</c:v>
                </c:pt>
                <c:pt idx="27">
                  <c:v>#N/A</c:v>
                </c:pt>
                <c:pt idx="28">
                  <c:v>#N/A</c:v>
                </c:pt>
                <c:pt idx="29">
                  <c:v>#N/A</c:v>
                </c:pt>
                <c:pt idx="30">
                  <c:v>#N/A</c:v>
                </c:pt>
                <c:pt idx="31">
                  <c:v>#N/A</c:v>
                </c:pt>
                <c:pt idx="32">
                  <c:v>#N/A</c:v>
                </c:pt>
                <c:pt idx="33">
                  <c:v>#N/A</c:v>
                </c:pt>
                <c:pt idx="34">
                  <c:v>43344</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44044</c:v>
                </c:pt>
                <c:pt idx="56">
                  <c:v>44044</c:v>
                </c:pt>
                <c:pt idx="57">
                  <c:v>#N/A</c:v>
                </c:pt>
                <c:pt idx="58">
                  <c:v>#N/A</c:v>
                </c:pt>
                <c:pt idx="59">
                  <c:v>#N/A</c:v>
                </c:pt>
                <c:pt idx="60">
                  <c:v>#N/A</c:v>
                </c:pt>
                <c:pt idx="61">
                  <c:v>44228</c:v>
                </c:pt>
                <c:pt idx="62">
                  <c:v>#N/A</c:v>
                </c:pt>
                <c:pt idx="63">
                  <c:v>#N/A</c:v>
                </c:pt>
                <c:pt idx="64">
                  <c:v>#N/A</c:v>
                </c:pt>
                <c:pt idx="65">
                  <c:v>#N/A</c:v>
                </c:pt>
                <c:pt idx="66">
                  <c:v>#N/A</c:v>
                </c:pt>
                <c:pt idx="67">
                  <c:v>#N/A</c:v>
                </c:pt>
                <c:pt idx="68">
                  <c:v>44256</c:v>
                </c:pt>
                <c:pt idx="69">
                  <c:v>#N/A</c:v>
                </c:pt>
                <c:pt idx="70">
                  <c:v>44317</c:v>
                </c:pt>
                <c:pt idx="71">
                  <c:v>#N/A</c:v>
                </c:pt>
                <c:pt idx="72">
                  <c:v>#N/A</c:v>
                </c:pt>
                <c:pt idx="73">
                  <c:v>#N/A</c:v>
                </c:pt>
                <c:pt idx="74">
                  <c:v>#N/A</c:v>
                </c:pt>
                <c:pt idx="75">
                  <c:v>#N/A</c:v>
                </c:pt>
                <c:pt idx="76">
                  <c:v>44440</c:v>
                </c:pt>
                <c:pt idx="77">
                  <c:v>#N/A</c:v>
                </c:pt>
                <c:pt idx="78">
                  <c:v>#N/A</c:v>
                </c:pt>
                <c:pt idx="79">
                  <c:v>44531</c:v>
                </c:pt>
                <c:pt idx="80">
                  <c:v>44531</c:v>
                </c:pt>
                <c:pt idx="81">
                  <c:v>44531</c:v>
                </c:pt>
                <c:pt idx="82">
                  <c:v>44531</c:v>
                </c:pt>
                <c:pt idx="83">
                  <c:v>#N/A</c:v>
                </c:pt>
                <c:pt idx="84">
                  <c:v>#N/A</c:v>
                </c:pt>
                <c:pt idx="85">
                  <c:v>#N/A</c:v>
                </c:pt>
                <c:pt idx="86">
                  <c:v>#N/A</c:v>
                </c:pt>
                <c:pt idx="87">
                  <c:v>44562</c:v>
                </c:pt>
                <c:pt idx="88">
                  <c:v>#N/A</c:v>
                </c:pt>
                <c:pt idx="89">
                  <c:v>#N/A</c:v>
                </c:pt>
                <c:pt idx="90">
                  <c:v>#N/A</c:v>
                </c:pt>
                <c:pt idx="91">
                  <c:v>#N/A</c:v>
                </c:pt>
                <c:pt idx="92">
                  <c:v>#N/A</c:v>
                </c:pt>
                <c:pt idx="93">
                  <c:v>#N/A</c:v>
                </c:pt>
                <c:pt idx="94">
                  <c:v>#N/A</c:v>
                </c:pt>
                <c:pt idx="95">
                  <c:v>44593</c:v>
                </c:pt>
                <c:pt idx="96">
                  <c:v>44593</c:v>
                </c:pt>
                <c:pt idx="97">
                  <c:v>#N/A</c:v>
                </c:pt>
                <c:pt idx="98">
                  <c:v>44593</c:v>
                </c:pt>
                <c:pt idx="99">
                  <c:v>#N/A</c:v>
                </c:pt>
                <c:pt idx="100">
                  <c:v>#N/A</c:v>
                </c:pt>
                <c:pt idx="101">
                  <c:v>#N/A</c:v>
                </c:pt>
                <c:pt idx="102">
                  <c:v>44713</c:v>
                </c:pt>
                <c:pt idx="103">
                  <c:v>#N/A</c:v>
                </c:pt>
                <c:pt idx="104">
                  <c:v>#N/A</c:v>
                </c:pt>
                <c:pt idx="105">
                  <c:v>44713</c:v>
                </c:pt>
                <c:pt idx="106">
                  <c:v>#N/A</c:v>
                </c:pt>
                <c:pt idx="107">
                  <c:v>#N/A</c:v>
                </c:pt>
                <c:pt idx="108">
                  <c:v>44743</c:v>
                </c:pt>
                <c:pt idx="109">
                  <c:v>#N/A</c:v>
                </c:pt>
                <c:pt idx="110">
                  <c:v>#N/A</c:v>
                </c:pt>
                <c:pt idx="111">
                  <c:v>44805</c:v>
                </c:pt>
                <c:pt idx="112">
                  <c:v>#N/A</c:v>
                </c:pt>
                <c:pt idx="113">
                  <c:v>#N/A</c:v>
                </c:pt>
                <c:pt idx="114">
                  <c:v>#N/A</c:v>
                </c:pt>
                <c:pt idx="115">
                  <c:v>44835</c:v>
                </c:pt>
                <c:pt idx="116">
                  <c:v>#N/A</c:v>
                </c:pt>
                <c:pt idx="117">
                  <c:v>#N/A</c:v>
                </c:pt>
                <c:pt idx="118">
                  <c:v>#N/A</c:v>
                </c:pt>
                <c:pt idx="119">
                  <c:v>#N/A</c:v>
                </c:pt>
                <c:pt idx="120">
                  <c:v>#N/A</c:v>
                </c:pt>
                <c:pt idx="121">
                  <c:v>#N/A</c:v>
                </c:pt>
                <c:pt idx="122">
                  <c:v>#N/A</c:v>
                </c:pt>
                <c:pt idx="123">
                  <c:v>#N/A</c:v>
                </c:pt>
                <c:pt idx="124">
                  <c:v>44896</c:v>
                </c:pt>
                <c:pt idx="125">
                  <c:v>44896</c:v>
                </c:pt>
                <c:pt idx="126">
                  <c:v>#N/A</c:v>
                </c:pt>
                <c:pt idx="127">
                  <c:v>#N/A</c:v>
                </c:pt>
                <c:pt idx="128">
                  <c:v>44927</c:v>
                </c:pt>
                <c:pt idx="129">
                  <c:v>44958</c:v>
                </c:pt>
                <c:pt idx="130">
                  <c:v>44958</c:v>
                </c:pt>
                <c:pt idx="131">
                  <c:v>#N/A</c:v>
                </c:pt>
                <c:pt idx="132">
                  <c:v>#N/A</c:v>
                </c:pt>
                <c:pt idx="133">
                  <c:v>#N/A</c:v>
                </c:pt>
                <c:pt idx="134">
                  <c:v>#N/A</c:v>
                </c:pt>
                <c:pt idx="135">
                  <c:v>44958</c:v>
                </c:pt>
                <c:pt idx="136">
                  <c:v>44958</c:v>
                </c:pt>
                <c:pt idx="137">
                  <c:v>#N/A</c:v>
                </c:pt>
                <c:pt idx="138">
                  <c:v>#N/A</c:v>
                </c:pt>
                <c:pt idx="139">
                  <c:v>#N/A</c:v>
                </c:pt>
                <c:pt idx="140">
                  <c:v>#N/A</c:v>
                </c:pt>
                <c:pt idx="141">
                  <c:v>#N/A</c:v>
                </c:pt>
                <c:pt idx="142">
                  <c:v>#N/A</c:v>
                </c:pt>
                <c:pt idx="143">
                  <c:v>#N/A</c:v>
                </c:pt>
                <c:pt idx="144">
                  <c:v>#N/A</c:v>
                </c:pt>
                <c:pt idx="145">
                  <c:v>#N/A</c:v>
                </c:pt>
              </c:numCache>
            </c:numRef>
          </c:xVal>
          <c:yVal>
            <c:numRef>
              <c:f>Plot_data_time!$J$2:$J$147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8</c:v>
                </c:pt>
                <c:pt idx="18">
                  <c:v>#N/A</c:v>
                </c:pt>
                <c:pt idx="19">
                  <c:v>#N/A</c:v>
                </c:pt>
                <c:pt idx="20">
                  <c:v>#N/A</c:v>
                </c:pt>
                <c:pt idx="21">
                  <c:v>1</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1</c:v>
                </c:pt>
                <c:pt idx="56">
                  <c:v>#N/A</c:v>
                </c:pt>
                <c:pt idx="57">
                  <c:v>#N/A</c:v>
                </c:pt>
                <c:pt idx="58">
                  <c:v>#N/A</c:v>
                </c:pt>
                <c:pt idx="59">
                  <c:v>#N/A</c:v>
                </c:pt>
                <c:pt idx="60">
                  <c:v>#N/A</c:v>
                </c:pt>
                <c:pt idx="61">
                  <c:v>1</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8-2C9B-4F81-8564-F87B50377741}"/>
            </c:ext>
          </c:extLst>
        </c:ser>
        <c:ser>
          <c:idx val="7"/>
          <c:order val="7"/>
          <c:tx>
            <c:v>RX &lt;20GHz</c:v>
          </c:tx>
          <c:spPr>
            <a:ln w="25400" cap="rnd">
              <a:noFill/>
              <a:round/>
            </a:ln>
            <a:effectLst/>
          </c:spPr>
          <c:marker>
            <c:symbol val="square"/>
            <c:size val="6"/>
            <c:spPr>
              <a:solidFill>
                <a:srgbClr val="FF0000">
                  <a:alpha val="75000"/>
                </a:srgbClr>
              </a:solidFill>
              <a:ln w="9525">
                <a:noFill/>
              </a:ln>
              <a:effectLst/>
            </c:spPr>
          </c:marker>
          <c:xVal>
            <c:numRef>
              <c:f>Plot_data_time!$M$2:$M$147</c:f>
              <c:numCache>
                <c:formatCode>m/d/yy</c:formatCode>
                <c:ptCount val="146"/>
                <c:pt idx="0">
                  <c:v>#N/A</c:v>
                </c:pt>
                <c:pt idx="1">
                  <c:v>#N/A</c:v>
                </c:pt>
                <c:pt idx="2">
                  <c:v>#N/A</c:v>
                </c:pt>
                <c:pt idx="3">
                  <c:v>40664</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42767</c:v>
                </c:pt>
                <c:pt idx="23">
                  <c:v>#N/A</c:v>
                </c:pt>
                <c:pt idx="24">
                  <c:v>#N/A</c:v>
                </c:pt>
                <c:pt idx="25">
                  <c:v>#N/A</c:v>
                </c:pt>
                <c:pt idx="26">
                  <c:v>43132</c:v>
                </c:pt>
                <c:pt idx="27">
                  <c:v>43132</c:v>
                </c:pt>
                <c:pt idx="28">
                  <c:v>#N/A</c:v>
                </c:pt>
                <c:pt idx="29">
                  <c:v>#N/A</c:v>
                </c:pt>
                <c:pt idx="30">
                  <c:v>#N/A</c:v>
                </c:pt>
                <c:pt idx="31">
                  <c:v>#N/A</c:v>
                </c:pt>
                <c:pt idx="32">
                  <c:v>#N/A</c:v>
                </c:pt>
                <c:pt idx="33">
                  <c:v>#N/A</c:v>
                </c:pt>
                <c:pt idx="34">
                  <c:v>#N/A</c:v>
                </c:pt>
                <c:pt idx="35">
                  <c:v>43344</c:v>
                </c:pt>
                <c:pt idx="36">
                  <c:v>#N/A</c:v>
                </c:pt>
                <c:pt idx="37">
                  <c:v>#N/A</c:v>
                </c:pt>
                <c:pt idx="38">
                  <c:v>43497</c:v>
                </c:pt>
                <c:pt idx="39">
                  <c:v>43497</c:v>
                </c:pt>
                <c:pt idx="40">
                  <c:v>#N/A</c:v>
                </c:pt>
                <c:pt idx="41">
                  <c:v>#N/A</c:v>
                </c:pt>
                <c:pt idx="42">
                  <c:v>43617</c:v>
                </c:pt>
                <c:pt idx="43">
                  <c:v>43617</c:v>
                </c:pt>
                <c:pt idx="44">
                  <c:v>#N/A</c:v>
                </c:pt>
                <c:pt idx="45">
                  <c:v>#N/A</c:v>
                </c:pt>
                <c:pt idx="46">
                  <c:v>#N/A</c:v>
                </c:pt>
                <c:pt idx="47">
                  <c:v>#N/A</c:v>
                </c:pt>
                <c:pt idx="48">
                  <c:v>#N/A</c:v>
                </c:pt>
                <c:pt idx="49">
                  <c:v>#N/A</c:v>
                </c:pt>
                <c:pt idx="50">
                  <c:v>#N/A</c:v>
                </c:pt>
                <c:pt idx="51">
                  <c:v>#N/A</c:v>
                </c:pt>
                <c:pt idx="52">
                  <c:v>#N/A</c:v>
                </c:pt>
                <c:pt idx="53">
                  <c:v>#N/A</c:v>
                </c:pt>
                <c:pt idx="54">
                  <c:v>44044</c:v>
                </c:pt>
                <c:pt idx="55">
                  <c:v>#N/A</c:v>
                </c:pt>
                <c:pt idx="56">
                  <c:v>#N/A</c:v>
                </c:pt>
                <c:pt idx="57">
                  <c:v>44044</c:v>
                </c:pt>
                <c:pt idx="58">
                  <c:v>#N/A</c:v>
                </c:pt>
                <c:pt idx="59">
                  <c:v>#N/A</c:v>
                </c:pt>
                <c:pt idx="60">
                  <c:v>#N/A</c:v>
                </c:pt>
                <c:pt idx="61">
                  <c:v>#N/A</c:v>
                </c:pt>
                <c:pt idx="62">
                  <c:v>44228</c:v>
                </c:pt>
                <c:pt idx="63">
                  <c:v>#N/A</c:v>
                </c:pt>
                <c:pt idx="64">
                  <c:v>#N/A</c:v>
                </c:pt>
                <c:pt idx="65">
                  <c:v>#N/A</c:v>
                </c:pt>
                <c:pt idx="66">
                  <c:v>#N/A</c:v>
                </c:pt>
                <c:pt idx="67">
                  <c:v>#N/A</c:v>
                </c:pt>
                <c:pt idx="68">
                  <c:v>#N/A</c:v>
                </c:pt>
                <c:pt idx="69">
                  <c:v>44317</c:v>
                </c:pt>
                <c:pt idx="70">
                  <c:v>#N/A</c:v>
                </c:pt>
                <c:pt idx="71">
                  <c:v>#N/A</c:v>
                </c:pt>
                <c:pt idx="72">
                  <c:v>#N/A</c:v>
                </c:pt>
                <c:pt idx="73">
                  <c:v>#N/A</c:v>
                </c:pt>
                <c:pt idx="74">
                  <c:v>44378</c:v>
                </c:pt>
                <c:pt idx="75">
                  <c:v>44409</c:v>
                </c:pt>
                <c:pt idx="76">
                  <c:v>#N/A</c:v>
                </c:pt>
                <c:pt idx="77">
                  <c:v>44501</c:v>
                </c:pt>
                <c:pt idx="78">
                  <c:v>#N/A</c:v>
                </c:pt>
                <c:pt idx="79">
                  <c:v>#N/A</c:v>
                </c:pt>
                <c:pt idx="80">
                  <c:v>#N/A</c:v>
                </c:pt>
                <c:pt idx="81">
                  <c:v>#N/A</c:v>
                </c:pt>
                <c:pt idx="82">
                  <c:v>#N/A</c:v>
                </c:pt>
                <c:pt idx="83">
                  <c:v>#N/A</c:v>
                </c:pt>
                <c:pt idx="84">
                  <c:v>#N/A</c:v>
                </c:pt>
                <c:pt idx="85">
                  <c:v>44562</c:v>
                </c:pt>
                <c:pt idx="86">
                  <c:v>44562</c:v>
                </c:pt>
                <c:pt idx="87">
                  <c:v>#N/A</c:v>
                </c:pt>
                <c:pt idx="88">
                  <c:v>#N/A</c:v>
                </c:pt>
                <c:pt idx="89">
                  <c:v>#N/A</c:v>
                </c:pt>
                <c:pt idx="90">
                  <c:v>#N/A</c:v>
                </c:pt>
                <c:pt idx="91">
                  <c:v>44593</c:v>
                </c:pt>
                <c:pt idx="92">
                  <c:v>44593</c:v>
                </c:pt>
                <c:pt idx="93">
                  <c:v>44593</c:v>
                </c:pt>
                <c:pt idx="94">
                  <c:v>#N/A</c:v>
                </c:pt>
                <c:pt idx="95">
                  <c:v>#N/A</c:v>
                </c:pt>
                <c:pt idx="96">
                  <c:v>#N/A</c:v>
                </c:pt>
                <c:pt idx="97">
                  <c:v>#N/A</c:v>
                </c:pt>
                <c:pt idx="98">
                  <c:v>#N/A</c:v>
                </c:pt>
                <c:pt idx="99">
                  <c:v>44593</c:v>
                </c:pt>
                <c:pt idx="100">
                  <c:v>#N/A</c:v>
                </c:pt>
                <c:pt idx="101">
                  <c:v>#N/A</c:v>
                </c:pt>
                <c:pt idx="102">
                  <c:v>#N/A</c:v>
                </c:pt>
                <c:pt idx="103">
                  <c:v>#N/A</c:v>
                </c:pt>
                <c:pt idx="104">
                  <c:v>#N/A</c:v>
                </c:pt>
                <c:pt idx="105">
                  <c:v>#N/A</c:v>
                </c:pt>
                <c:pt idx="106">
                  <c:v>#N/A</c:v>
                </c:pt>
                <c:pt idx="107">
                  <c:v>#N/A</c:v>
                </c:pt>
                <c:pt idx="108">
                  <c:v>#N/A</c:v>
                </c:pt>
                <c:pt idx="109">
                  <c:v>44743</c:v>
                </c:pt>
                <c:pt idx="110">
                  <c:v>#N/A</c:v>
                </c:pt>
                <c:pt idx="111">
                  <c:v>#N/A</c:v>
                </c:pt>
                <c:pt idx="112">
                  <c:v>44805</c:v>
                </c:pt>
                <c:pt idx="113">
                  <c:v>#N/A</c:v>
                </c:pt>
                <c:pt idx="114">
                  <c:v>44835</c:v>
                </c:pt>
                <c:pt idx="115">
                  <c:v>#N/A</c:v>
                </c:pt>
                <c:pt idx="116">
                  <c:v>44835</c:v>
                </c:pt>
                <c:pt idx="117">
                  <c:v>44835</c:v>
                </c:pt>
                <c:pt idx="118">
                  <c:v>44835</c:v>
                </c:pt>
                <c:pt idx="119">
                  <c:v>44835</c:v>
                </c:pt>
                <c:pt idx="120">
                  <c:v>44866</c:v>
                </c:pt>
                <c:pt idx="121">
                  <c:v>44866</c:v>
                </c:pt>
                <c:pt idx="122">
                  <c:v>#N/A</c:v>
                </c:pt>
                <c:pt idx="123">
                  <c:v>44896</c:v>
                </c:pt>
                <c:pt idx="124">
                  <c:v>#N/A</c:v>
                </c:pt>
                <c:pt idx="125">
                  <c:v>#N/A</c:v>
                </c:pt>
                <c:pt idx="126">
                  <c:v>#N/A</c:v>
                </c:pt>
                <c:pt idx="127">
                  <c:v>#N/A</c:v>
                </c:pt>
                <c:pt idx="128">
                  <c:v>#N/A</c:v>
                </c:pt>
                <c:pt idx="129">
                  <c:v>#N/A</c:v>
                </c:pt>
                <c:pt idx="130">
                  <c:v>#N/A</c:v>
                </c:pt>
                <c:pt idx="131">
                  <c:v>#N/A</c:v>
                </c:pt>
                <c:pt idx="132">
                  <c:v>44958</c:v>
                </c:pt>
                <c:pt idx="133">
                  <c:v>44958</c:v>
                </c:pt>
                <c:pt idx="134">
                  <c:v>#N/A</c:v>
                </c:pt>
                <c:pt idx="135">
                  <c:v>#N/A</c:v>
                </c:pt>
                <c:pt idx="136">
                  <c:v>#N/A</c:v>
                </c:pt>
                <c:pt idx="137">
                  <c:v>44958</c:v>
                </c:pt>
                <c:pt idx="138">
                  <c:v>#N/A</c:v>
                </c:pt>
                <c:pt idx="139">
                  <c:v>#N/A</c:v>
                </c:pt>
                <c:pt idx="140">
                  <c:v>#N/A</c:v>
                </c:pt>
                <c:pt idx="141">
                  <c:v>#N/A</c:v>
                </c:pt>
                <c:pt idx="142">
                  <c:v>#N/A</c:v>
                </c:pt>
                <c:pt idx="143">
                  <c:v>45047</c:v>
                </c:pt>
                <c:pt idx="144">
                  <c:v>#N/A</c:v>
                </c:pt>
                <c:pt idx="145">
                  <c:v>#N/A</c:v>
                </c:pt>
              </c:numCache>
            </c:numRef>
          </c:xVal>
          <c:yVal>
            <c:numRef>
              <c:f>Plot_data_time!$O$2:$O$147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256</c:v>
                </c:pt>
                <c:pt idx="70">
                  <c:v>#N/A</c:v>
                </c:pt>
                <c:pt idx="71">
                  <c:v>#N/A</c:v>
                </c:pt>
                <c:pt idx="72">
                  <c:v>#N/A</c:v>
                </c:pt>
                <c:pt idx="73">
                  <c:v>#N/A</c:v>
                </c:pt>
                <c:pt idx="74">
                  <c:v>1024</c:v>
                </c:pt>
                <c:pt idx="75">
                  <c:v>#N/A</c:v>
                </c:pt>
                <c:pt idx="76">
                  <c:v>#N/A</c:v>
                </c:pt>
                <c:pt idx="77">
                  <c:v>256</c:v>
                </c:pt>
                <c:pt idx="78">
                  <c:v>#N/A</c:v>
                </c:pt>
                <c:pt idx="79">
                  <c:v>#N/A</c:v>
                </c:pt>
                <c:pt idx="80">
                  <c:v>#N/A</c:v>
                </c:pt>
                <c:pt idx="81">
                  <c:v>#N/A</c:v>
                </c:pt>
                <c:pt idx="82">
                  <c:v>#N/A</c:v>
                </c:pt>
                <c:pt idx="83">
                  <c:v>#N/A</c:v>
                </c:pt>
                <c:pt idx="84">
                  <c:v>#N/A</c:v>
                </c:pt>
                <c:pt idx="85">
                  <c:v>8</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8</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A-2C9B-4F81-8564-F87B50377741}"/>
            </c:ext>
          </c:extLst>
        </c:ser>
        <c:ser>
          <c:idx val="8"/>
          <c:order val="8"/>
          <c:tx>
            <c:v>RX 20-50GHz</c:v>
          </c:tx>
          <c:spPr>
            <a:ln w="25400" cap="rnd">
              <a:noFill/>
              <a:round/>
            </a:ln>
            <a:effectLst/>
          </c:spPr>
          <c:marker>
            <c:symbol val="square"/>
            <c:size val="6"/>
            <c:spPr>
              <a:solidFill>
                <a:schemeClr val="accent4">
                  <a:alpha val="75000"/>
                </a:schemeClr>
              </a:solidFill>
              <a:ln w="9525">
                <a:noFill/>
              </a:ln>
              <a:effectLst/>
            </c:spPr>
          </c:marker>
          <c:xVal>
            <c:numRef>
              <c:f>Plot_data_time!$M$2:$M$147</c:f>
              <c:numCache>
                <c:formatCode>m/d/yy</c:formatCode>
                <c:ptCount val="146"/>
                <c:pt idx="0">
                  <c:v>#N/A</c:v>
                </c:pt>
                <c:pt idx="1">
                  <c:v>#N/A</c:v>
                </c:pt>
                <c:pt idx="2">
                  <c:v>#N/A</c:v>
                </c:pt>
                <c:pt idx="3">
                  <c:v>40664</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42767</c:v>
                </c:pt>
                <c:pt idx="23">
                  <c:v>#N/A</c:v>
                </c:pt>
                <c:pt idx="24">
                  <c:v>#N/A</c:v>
                </c:pt>
                <c:pt idx="25">
                  <c:v>#N/A</c:v>
                </c:pt>
                <c:pt idx="26">
                  <c:v>43132</c:v>
                </c:pt>
                <c:pt idx="27">
                  <c:v>43132</c:v>
                </c:pt>
                <c:pt idx="28">
                  <c:v>#N/A</c:v>
                </c:pt>
                <c:pt idx="29">
                  <c:v>#N/A</c:v>
                </c:pt>
                <c:pt idx="30">
                  <c:v>#N/A</c:v>
                </c:pt>
                <c:pt idx="31">
                  <c:v>#N/A</c:v>
                </c:pt>
                <c:pt idx="32">
                  <c:v>#N/A</c:v>
                </c:pt>
                <c:pt idx="33">
                  <c:v>#N/A</c:v>
                </c:pt>
                <c:pt idx="34">
                  <c:v>#N/A</c:v>
                </c:pt>
                <c:pt idx="35">
                  <c:v>43344</c:v>
                </c:pt>
                <c:pt idx="36">
                  <c:v>#N/A</c:v>
                </c:pt>
                <c:pt idx="37">
                  <c:v>#N/A</c:v>
                </c:pt>
                <c:pt idx="38">
                  <c:v>43497</c:v>
                </c:pt>
                <c:pt idx="39">
                  <c:v>43497</c:v>
                </c:pt>
                <c:pt idx="40">
                  <c:v>#N/A</c:v>
                </c:pt>
                <c:pt idx="41">
                  <c:v>#N/A</c:v>
                </c:pt>
                <c:pt idx="42">
                  <c:v>43617</c:v>
                </c:pt>
                <c:pt idx="43">
                  <c:v>43617</c:v>
                </c:pt>
                <c:pt idx="44">
                  <c:v>#N/A</c:v>
                </c:pt>
                <c:pt idx="45">
                  <c:v>#N/A</c:v>
                </c:pt>
                <c:pt idx="46">
                  <c:v>#N/A</c:v>
                </c:pt>
                <c:pt idx="47">
                  <c:v>#N/A</c:v>
                </c:pt>
                <c:pt idx="48">
                  <c:v>#N/A</c:v>
                </c:pt>
                <c:pt idx="49">
                  <c:v>#N/A</c:v>
                </c:pt>
                <c:pt idx="50">
                  <c:v>#N/A</c:v>
                </c:pt>
                <c:pt idx="51">
                  <c:v>#N/A</c:v>
                </c:pt>
                <c:pt idx="52">
                  <c:v>#N/A</c:v>
                </c:pt>
                <c:pt idx="53">
                  <c:v>#N/A</c:v>
                </c:pt>
                <c:pt idx="54">
                  <c:v>44044</c:v>
                </c:pt>
                <c:pt idx="55">
                  <c:v>#N/A</c:v>
                </c:pt>
                <c:pt idx="56">
                  <c:v>#N/A</c:v>
                </c:pt>
                <c:pt idx="57">
                  <c:v>44044</c:v>
                </c:pt>
                <c:pt idx="58">
                  <c:v>#N/A</c:v>
                </c:pt>
                <c:pt idx="59">
                  <c:v>#N/A</c:v>
                </c:pt>
                <c:pt idx="60">
                  <c:v>#N/A</c:v>
                </c:pt>
                <c:pt idx="61">
                  <c:v>#N/A</c:v>
                </c:pt>
                <c:pt idx="62">
                  <c:v>44228</c:v>
                </c:pt>
                <c:pt idx="63">
                  <c:v>#N/A</c:v>
                </c:pt>
                <c:pt idx="64">
                  <c:v>#N/A</c:v>
                </c:pt>
                <c:pt idx="65">
                  <c:v>#N/A</c:v>
                </c:pt>
                <c:pt idx="66">
                  <c:v>#N/A</c:v>
                </c:pt>
                <c:pt idx="67">
                  <c:v>#N/A</c:v>
                </c:pt>
                <c:pt idx="68">
                  <c:v>#N/A</c:v>
                </c:pt>
                <c:pt idx="69">
                  <c:v>44317</c:v>
                </c:pt>
                <c:pt idx="70">
                  <c:v>#N/A</c:v>
                </c:pt>
                <c:pt idx="71">
                  <c:v>#N/A</c:v>
                </c:pt>
                <c:pt idx="72">
                  <c:v>#N/A</c:v>
                </c:pt>
                <c:pt idx="73">
                  <c:v>#N/A</c:v>
                </c:pt>
                <c:pt idx="74">
                  <c:v>44378</c:v>
                </c:pt>
                <c:pt idx="75">
                  <c:v>44409</c:v>
                </c:pt>
                <c:pt idx="76">
                  <c:v>#N/A</c:v>
                </c:pt>
                <c:pt idx="77">
                  <c:v>44501</c:v>
                </c:pt>
                <c:pt idx="78">
                  <c:v>#N/A</c:v>
                </c:pt>
                <c:pt idx="79">
                  <c:v>#N/A</c:v>
                </c:pt>
                <c:pt idx="80">
                  <c:v>#N/A</c:v>
                </c:pt>
                <c:pt idx="81">
                  <c:v>#N/A</c:v>
                </c:pt>
                <c:pt idx="82">
                  <c:v>#N/A</c:v>
                </c:pt>
                <c:pt idx="83">
                  <c:v>#N/A</c:v>
                </c:pt>
                <c:pt idx="84">
                  <c:v>#N/A</c:v>
                </c:pt>
                <c:pt idx="85">
                  <c:v>44562</c:v>
                </c:pt>
                <c:pt idx="86">
                  <c:v>44562</c:v>
                </c:pt>
                <c:pt idx="87">
                  <c:v>#N/A</c:v>
                </c:pt>
                <c:pt idx="88">
                  <c:v>#N/A</c:v>
                </c:pt>
                <c:pt idx="89">
                  <c:v>#N/A</c:v>
                </c:pt>
                <c:pt idx="90">
                  <c:v>#N/A</c:v>
                </c:pt>
                <c:pt idx="91">
                  <c:v>44593</c:v>
                </c:pt>
                <c:pt idx="92">
                  <c:v>44593</c:v>
                </c:pt>
                <c:pt idx="93">
                  <c:v>44593</c:v>
                </c:pt>
                <c:pt idx="94">
                  <c:v>#N/A</c:v>
                </c:pt>
                <c:pt idx="95">
                  <c:v>#N/A</c:v>
                </c:pt>
                <c:pt idx="96">
                  <c:v>#N/A</c:v>
                </c:pt>
                <c:pt idx="97">
                  <c:v>#N/A</c:v>
                </c:pt>
                <c:pt idx="98">
                  <c:v>#N/A</c:v>
                </c:pt>
                <c:pt idx="99">
                  <c:v>44593</c:v>
                </c:pt>
                <c:pt idx="100">
                  <c:v>#N/A</c:v>
                </c:pt>
                <c:pt idx="101">
                  <c:v>#N/A</c:v>
                </c:pt>
                <c:pt idx="102">
                  <c:v>#N/A</c:v>
                </c:pt>
                <c:pt idx="103">
                  <c:v>#N/A</c:v>
                </c:pt>
                <c:pt idx="104">
                  <c:v>#N/A</c:v>
                </c:pt>
                <c:pt idx="105">
                  <c:v>#N/A</c:v>
                </c:pt>
                <c:pt idx="106">
                  <c:v>#N/A</c:v>
                </c:pt>
                <c:pt idx="107">
                  <c:v>#N/A</c:v>
                </c:pt>
                <c:pt idx="108">
                  <c:v>#N/A</c:v>
                </c:pt>
                <c:pt idx="109">
                  <c:v>44743</c:v>
                </c:pt>
                <c:pt idx="110">
                  <c:v>#N/A</c:v>
                </c:pt>
                <c:pt idx="111">
                  <c:v>#N/A</c:v>
                </c:pt>
                <c:pt idx="112">
                  <c:v>44805</c:v>
                </c:pt>
                <c:pt idx="113">
                  <c:v>#N/A</c:v>
                </c:pt>
                <c:pt idx="114">
                  <c:v>44835</c:v>
                </c:pt>
                <c:pt idx="115">
                  <c:v>#N/A</c:v>
                </c:pt>
                <c:pt idx="116">
                  <c:v>44835</c:v>
                </c:pt>
                <c:pt idx="117">
                  <c:v>44835</c:v>
                </c:pt>
                <c:pt idx="118">
                  <c:v>44835</c:v>
                </c:pt>
                <c:pt idx="119">
                  <c:v>44835</c:v>
                </c:pt>
                <c:pt idx="120">
                  <c:v>44866</c:v>
                </c:pt>
                <c:pt idx="121">
                  <c:v>44866</c:v>
                </c:pt>
                <c:pt idx="122">
                  <c:v>#N/A</c:v>
                </c:pt>
                <c:pt idx="123">
                  <c:v>44896</c:v>
                </c:pt>
                <c:pt idx="124">
                  <c:v>#N/A</c:v>
                </c:pt>
                <c:pt idx="125">
                  <c:v>#N/A</c:v>
                </c:pt>
                <c:pt idx="126">
                  <c:v>#N/A</c:v>
                </c:pt>
                <c:pt idx="127">
                  <c:v>#N/A</c:v>
                </c:pt>
                <c:pt idx="128">
                  <c:v>#N/A</c:v>
                </c:pt>
                <c:pt idx="129">
                  <c:v>#N/A</c:v>
                </c:pt>
                <c:pt idx="130">
                  <c:v>#N/A</c:v>
                </c:pt>
                <c:pt idx="131">
                  <c:v>#N/A</c:v>
                </c:pt>
                <c:pt idx="132">
                  <c:v>44958</c:v>
                </c:pt>
                <c:pt idx="133">
                  <c:v>44958</c:v>
                </c:pt>
                <c:pt idx="134">
                  <c:v>#N/A</c:v>
                </c:pt>
                <c:pt idx="135">
                  <c:v>#N/A</c:v>
                </c:pt>
                <c:pt idx="136">
                  <c:v>#N/A</c:v>
                </c:pt>
                <c:pt idx="137">
                  <c:v>44958</c:v>
                </c:pt>
                <c:pt idx="138">
                  <c:v>#N/A</c:v>
                </c:pt>
                <c:pt idx="139">
                  <c:v>#N/A</c:v>
                </c:pt>
                <c:pt idx="140">
                  <c:v>#N/A</c:v>
                </c:pt>
                <c:pt idx="141">
                  <c:v>#N/A</c:v>
                </c:pt>
                <c:pt idx="142">
                  <c:v>#N/A</c:v>
                </c:pt>
                <c:pt idx="143">
                  <c:v>45047</c:v>
                </c:pt>
                <c:pt idx="144">
                  <c:v>#N/A</c:v>
                </c:pt>
                <c:pt idx="145">
                  <c:v>#N/A</c:v>
                </c:pt>
              </c:numCache>
            </c:numRef>
          </c:xVal>
          <c:yVal>
            <c:numRef>
              <c:f>Plot_data_time!$P$2:$P$147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8</c:v>
                </c:pt>
                <c:pt idx="27">
                  <c:v>8</c:v>
                </c:pt>
                <c:pt idx="28">
                  <c:v>#N/A</c:v>
                </c:pt>
                <c:pt idx="29">
                  <c:v>#N/A</c:v>
                </c:pt>
                <c:pt idx="30">
                  <c:v>#N/A</c:v>
                </c:pt>
                <c:pt idx="31">
                  <c:v>#N/A</c:v>
                </c:pt>
                <c:pt idx="32">
                  <c:v>#N/A</c:v>
                </c:pt>
                <c:pt idx="33">
                  <c:v>#N/A</c:v>
                </c:pt>
                <c:pt idx="34">
                  <c:v>#N/A</c:v>
                </c:pt>
                <c:pt idx="35">
                  <c:v>#N/A</c:v>
                </c:pt>
                <c:pt idx="36">
                  <c:v>#N/A</c:v>
                </c:pt>
                <c:pt idx="37">
                  <c:v>#N/A</c:v>
                </c:pt>
                <c:pt idx="38">
                  <c:v>4</c:v>
                </c:pt>
                <c:pt idx="39">
                  <c:v>4</c:v>
                </c:pt>
                <c:pt idx="40">
                  <c:v>#N/A</c:v>
                </c:pt>
                <c:pt idx="41">
                  <c:v>#N/A</c:v>
                </c:pt>
                <c:pt idx="42">
                  <c:v>1</c:v>
                </c:pt>
                <c:pt idx="43">
                  <c:v>1</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4</c:v>
                </c:pt>
                <c:pt idx="92">
                  <c:v>256</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2</c:v>
                </c:pt>
                <c:pt idx="117">
                  <c:v>2</c:v>
                </c:pt>
                <c:pt idx="118">
                  <c:v>2</c:v>
                </c:pt>
                <c:pt idx="119">
                  <c:v>#N/A</c:v>
                </c:pt>
                <c:pt idx="120">
                  <c:v>4</c:v>
                </c:pt>
                <c:pt idx="121">
                  <c:v>4</c:v>
                </c:pt>
                <c:pt idx="122">
                  <c:v>#N/A</c:v>
                </c:pt>
                <c:pt idx="123">
                  <c:v>1024</c:v>
                </c:pt>
                <c:pt idx="124">
                  <c:v>#N/A</c:v>
                </c:pt>
                <c:pt idx="125">
                  <c:v>#N/A</c:v>
                </c:pt>
                <c:pt idx="126">
                  <c:v>#N/A</c:v>
                </c:pt>
                <c:pt idx="127">
                  <c:v>#N/A</c:v>
                </c:pt>
                <c:pt idx="128">
                  <c:v>#N/A</c:v>
                </c:pt>
                <c:pt idx="129">
                  <c:v>#N/A</c:v>
                </c:pt>
                <c:pt idx="130">
                  <c:v>#N/A</c:v>
                </c:pt>
                <c:pt idx="131">
                  <c:v>#N/A</c:v>
                </c:pt>
                <c:pt idx="132">
                  <c:v>#N/A</c:v>
                </c:pt>
                <c:pt idx="133">
                  <c:v>256</c:v>
                </c:pt>
                <c:pt idx="134">
                  <c:v>#N/A</c:v>
                </c:pt>
                <c:pt idx="135">
                  <c:v>#N/A</c:v>
                </c:pt>
                <c:pt idx="136">
                  <c:v>#N/A</c:v>
                </c:pt>
                <c:pt idx="137">
                  <c:v>#N/A</c:v>
                </c:pt>
                <c:pt idx="138">
                  <c:v>#N/A</c:v>
                </c:pt>
                <c:pt idx="139">
                  <c:v>#N/A</c:v>
                </c:pt>
                <c:pt idx="140">
                  <c:v>#N/A</c:v>
                </c:pt>
                <c:pt idx="141">
                  <c:v>#N/A</c:v>
                </c:pt>
                <c:pt idx="142">
                  <c:v>#N/A</c:v>
                </c:pt>
                <c:pt idx="143">
                  <c:v>4</c:v>
                </c:pt>
                <c:pt idx="144">
                  <c:v>#N/A</c:v>
                </c:pt>
                <c:pt idx="145">
                  <c:v>#N/A</c:v>
                </c:pt>
              </c:numCache>
            </c:numRef>
          </c:yVal>
          <c:smooth val="0"/>
          <c:extLst>
            <c:ext xmlns:c16="http://schemas.microsoft.com/office/drawing/2014/chart" uri="{C3380CC4-5D6E-409C-BE32-E72D297353CC}">
              <c16:uniqueId val="{0000000B-2C9B-4F81-8564-F87B50377741}"/>
            </c:ext>
          </c:extLst>
        </c:ser>
        <c:ser>
          <c:idx val="9"/>
          <c:order val="9"/>
          <c:tx>
            <c:v>RX 50-75GHz</c:v>
          </c:tx>
          <c:spPr>
            <a:ln w="25400" cap="rnd">
              <a:noFill/>
              <a:round/>
            </a:ln>
            <a:effectLst/>
          </c:spPr>
          <c:marker>
            <c:symbol val="square"/>
            <c:size val="6"/>
            <c:spPr>
              <a:solidFill>
                <a:srgbClr val="00B050">
                  <a:alpha val="75000"/>
                </a:srgbClr>
              </a:solidFill>
              <a:ln w="9525">
                <a:noFill/>
              </a:ln>
              <a:effectLst/>
            </c:spPr>
          </c:marker>
          <c:xVal>
            <c:numRef>
              <c:f>Plot_data_time!$M$2:$M$147</c:f>
              <c:numCache>
                <c:formatCode>m/d/yy</c:formatCode>
                <c:ptCount val="146"/>
                <c:pt idx="0">
                  <c:v>#N/A</c:v>
                </c:pt>
                <c:pt idx="1">
                  <c:v>#N/A</c:v>
                </c:pt>
                <c:pt idx="2">
                  <c:v>#N/A</c:v>
                </c:pt>
                <c:pt idx="3">
                  <c:v>40664</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42767</c:v>
                </c:pt>
                <c:pt idx="23">
                  <c:v>#N/A</c:v>
                </c:pt>
                <c:pt idx="24">
                  <c:v>#N/A</c:v>
                </c:pt>
                <c:pt idx="25">
                  <c:v>#N/A</c:v>
                </c:pt>
                <c:pt idx="26">
                  <c:v>43132</c:v>
                </c:pt>
                <c:pt idx="27">
                  <c:v>43132</c:v>
                </c:pt>
                <c:pt idx="28">
                  <c:v>#N/A</c:v>
                </c:pt>
                <c:pt idx="29">
                  <c:v>#N/A</c:v>
                </c:pt>
                <c:pt idx="30">
                  <c:v>#N/A</c:v>
                </c:pt>
                <c:pt idx="31">
                  <c:v>#N/A</c:v>
                </c:pt>
                <c:pt idx="32">
                  <c:v>#N/A</c:v>
                </c:pt>
                <c:pt idx="33">
                  <c:v>#N/A</c:v>
                </c:pt>
                <c:pt idx="34">
                  <c:v>#N/A</c:v>
                </c:pt>
                <c:pt idx="35">
                  <c:v>43344</c:v>
                </c:pt>
                <c:pt idx="36">
                  <c:v>#N/A</c:v>
                </c:pt>
                <c:pt idx="37">
                  <c:v>#N/A</c:v>
                </c:pt>
                <c:pt idx="38">
                  <c:v>43497</c:v>
                </c:pt>
                <c:pt idx="39">
                  <c:v>43497</c:v>
                </c:pt>
                <c:pt idx="40">
                  <c:v>#N/A</c:v>
                </c:pt>
                <c:pt idx="41">
                  <c:v>#N/A</c:v>
                </c:pt>
                <c:pt idx="42">
                  <c:v>43617</c:v>
                </c:pt>
                <c:pt idx="43">
                  <c:v>43617</c:v>
                </c:pt>
                <c:pt idx="44">
                  <c:v>#N/A</c:v>
                </c:pt>
                <c:pt idx="45">
                  <c:v>#N/A</c:v>
                </c:pt>
                <c:pt idx="46">
                  <c:v>#N/A</c:v>
                </c:pt>
                <c:pt idx="47">
                  <c:v>#N/A</c:v>
                </c:pt>
                <c:pt idx="48">
                  <c:v>#N/A</c:v>
                </c:pt>
                <c:pt idx="49">
                  <c:v>#N/A</c:v>
                </c:pt>
                <c:pt idx="50">
                  <c:v>#N/A</c:v>
                </c:pt>
                <c:pt idx="51">
                  <c:v>#N/A</c:v>
                </c:pt>
                <c:pt idx="52">
                  <c:v>#N/A</c:v>
                </c:pt>
                <c:pt idx="53">
                  <c:v>#N/A</c:v>
                </c:pt>
                <c:pt idx="54">
                  <c:v>44044</c:v>
                </c:pt>
                <c:pt idx="55">
                  <c:v>#N/A</c:v>
                </c:pt>
                <c:pt idx="56">
                  <c:v>#N/A</c:v>
                </c:pt>
                <c:pt idx="57">
                  <c:v>44044</c:v>
                </c:pt>
                <c:pt idx="58">
                  <c:v>#N/A</c:v>
                </c:pt>
                <c:pt idx="59">
                  <c:v>#N/A</c:v>
                </c:pt>
                <c:pt idx="60">
                  <c:v>#N/A</c:v>
                </c:pt>
                <c:pt idx="61">
                  <c:v>#N/A</c:v>
                </c:pt>
                <c:pt idx="62">
                  <c:v>44228</c:v>
                </c:pt>
                <c:pt idx="63">
                  <c:v>#N/A</c:v>
                </c:pt>
                <c:pt idx="64">
                  <c:v>#N/A</c:v>
                </c:pt>
                <c:pt idx="65">
                  <c:v>#N/A</c:v>
                </c:pt>
                <c:pt idx="66">
                  <c:v>#N/A</c:v>
                </c:pt>
                <c:pt idx="67">
                  <c:v>#N/A</c:v>
                </c:pt>
                <c:pt idx="68">
                  <c:v>#N/A</c:v>
                </c:pt>
                <c:pt idx="69">
                  <c:v>44317</c:v>
                </c:pt>
                <c:pt idx="70">
                  <c:v>#N/A</c:v>
                </c:pt>
                <c:pt idx="71">
                  <c:v>#N/A</c:v>
                </c:pt>
                <c:pt idx="72">
                  <c:v>#N/A</c:v>
                </c:pt>
                <c:pt idx="73">
                  <c:v>#N/A</c:v>
                </c:pt>
                <c:pt idx="74">
                  <c:v>44378</c:v>
                </c:pt>
                <c:pt idx="75">
                  <c:v>44409</c:v>
                </c:pt>
                <c:pt idx="76">
                  <c:v>#N/A</c:v>
                </c:pt>
                <c:pt idx="77">
                  <c:v>44501</c:v>
                </c:pt>
                <c:pt idx="78">
                  <c:v>#N/A</c:v>
                </c:pt>
                <c:pt idx="79">
                  <c:v>#N/A</c:v>
                </c:pt>
                <c:pt idx="80">
                  <c:v>#N/A</c:v>
                </c:pt>
                <c:pt idx="81">
                  <c:v>#N/A</c:v>
                </c:pt>
                <c:pt idx="82">
                  <c:v>#N/A</c:v>
                </c:pt>
                <c:pt idx="83">
                  <c:v>#N/A</c:v>
                </c:pt>
                <c:pt idx="84">
                  <c:v>#N/A</c:v>
                </c:pt>
                <c:pt idx="85">
                  <c:v>44562</c:v>
                </c:pt>
                <c:pt idx="86">
                  <c:v>44562</c:v>
                </c:pt>
                <c:pt idx="87">
                  <c:v>#N/A</c:v>
                </c:pt>
                <c:pt idx="88">
                  <c:v>#N/A</c:v>
                </c:pt>
                <c:pt idx="89">
                  <c:v>#N/A</c:v>
                </c:pt>
                <c:pt idx="90">
                  <c:v>#N/A</c:v>
                </c:pt>
                <c:pt idx="91">
                  <c:v>44593</c:v>
                </c:pt>
                <c:pt idx="92">
                  <c:v>44593</c:v>
                </c:pt>
                <c:pt idx="93">
                  <c:v>44593</c:v>
                </c:pt>
                <c:pt idx="94">
                  <c:v>#N/A</c:v>
                </c:pt>
                <c:pt idx="95">
                  <c:v>#N/A</c:v>
                </c:pt>
                <c:pt idx="96">
                  <c:v>#N/A</c:v>
                </c:pt>
                <c:pt idx="97">
                  <c:v>#N/A</c:v>
                </c:pt>
                <c:pt idx="98">
                  <c:v>#N/A</c:v>
                </c:pt>
                <c:pt idx="99">
                  <c:v>44593</c:v>
                </c:pt>
                <c:pt idx="100">
                  <c:v>#N/A</c:v>
                </c:pt>
                <c:pt idx="101">
                  <c:v>#N/A</c:v>
                </c:pt>
                <c:pt idx="102">
                  <c:v>#N/A</c:v>
                </c:pt>
                <c:pt idx="103">
                  <c:v>#N/A</c:v>
                </c:pt>
                <c:pt idx="104">
                  <c:v>#N/A</c:v>
                </c:pt>
                <c:pt idx="105">
                  <c:v>#N/A</c:v>
                </c:pt>
                <c:pt idx="106">
                  <c:v>#N/A</c:v>
                </c:pt>
                <c:pt idx="107">
                  <c:v>#N/A</c:v>
                </c:pt>
                <c:pt idx="108">
                  <c:v>#N/A</c:v>
                </c:pt>
                <c:pt idx="109">
                  <c:v>44743</c:v>
                </c:pt>
                <c:pt idx="110">
                  <c:v>#N/A</c:v>
                </c:pt>
                <c:pt idx="111">
                  <c:v>#N/A</c:v>
                </c:pt>
                <c:pt idx="112">
                  <c:v>44805</c:v>
                </c:pt>
                <c:pt idx="113">
                  <c:v>#N/A</c:v>
                </c:pt>
                <c:pt idx="114">
                  <c:v>44835</c:v>
                </c:pt>
                <c:pt idx="115">
                  <c:v>#N/A</c:v>
                </c:pt>
                <c:pt idx="116">
                  <c:v>44835</c:v>
                </c:pt>
                <c:pt idx="117">
                  <c:v>44835</c:v>
                </c:pt>
                <c:pt idx="118">
                  <c:v>44835</c:v>
                </c:pt>
                <c:pt idx="119">
                  <c:v>44835</c:v>
                </c:pt>
                <c:pt idx="120">
                  <c:v>44866</c:v>
                </c:pt>
                <c:pt idx="121">
                  <c:v>44866</c:v>
                </c:pt>
                <c:pt idx="122">
                  <c:v>#N/A</c:v>
                </c:pt>
                <c:pt idx="123">
                  <c:v>44896</c:v>
                </c:pt>
                <c:pt idx="124">
                  <c:v>#N/A</c:v>
                </c:pt>
                <c:pt idx="125">
                  <c:v>#N/A</c:v>
                </c:pt>
                <c:pt idx="126">
                  <c:v>#N/A</c:v>
                </c:pt>
                <c:pt idx="127">
                  <c:v>#N/A</c:v>
                </c:pt>
                <c:pt idx="128">
                  <c:v>#N/A</c:v>
                </c:pt>
                <c:pt idx="129">
                  <c:v>#N/A</c:v>
                </c:pt>
                <c:pt idx="130">
                  <c:v>#N/A</c:v>
                </c:pt>
                <c:pt idx="131">
                  <c:v>#N/A</c:v>
                </c:pt>
                <c:pt idx="132">
                  <c:v>44958</c:v>
                </c:pt>
                <c:pt idx="133">
                  <c:v>44958</c:v>
                </c:pt>
                <c:pt idx="134">
                  <c:v>#N/A</c:v>
                </c:pt>
                <c:pt idx="135">
                  <c:v>#N/A</c:v>
                </c:pt>
                <c:pt idx="136">
                  <c:v>#N/A</c:v>
                </c:pt>
                <c:pt idx="137">
                  <c:v>44958</c:v>
                </c:pt>
                <c:pt idx="138">
                  <c:v>#N/A</c:v>
                </c:pt>
                <c:pt idx="139">
                  <c:v>#N/A</c:v>
                </c:pt>
                <c:pt idx="140">
                  <c:v>#N/A</c:v>
                </c:pt>
                <c:pt idx="141">
                  <c:v>#N/A</c:v>
                </c:pt>
                <c:pt idx="142">
                  <c:v>#N/A</c:v>
                </c:pt>
                <c:pt idx="143">
                  <c:v>45047</c:v>
                </c:pt>
                <c:pt idx="144">
                  <c:v>#N/A</c:v>
                </c:pt>
                <c:pt idx="145">
                  <c:v>#N/A</c:v>
                </c:pt>
              </c:numCache>
            </c:numRef>
          </c:xVal>
          <c:yVal>
            <c:numRef>
              <c:f>Plot_data_time!$Q$2:$Q$147</c:f>
              <c:numCache>
                <c:formatCode>General</c:formatCode>
                <c:ptCount val="146"/>
                <c:pt idx="0">
                  <c:v>#N/A</c:v>
                </c:pt>
                <c:pt idx="1">
                  <c:v>#N/A</c:v>
                </c:pt>
                <c:pt idx="2">
                  <c:v>#N/A</c:v>
                </c:pt>
                <c:pt idx="3">
                  <c:v>16</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8</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2</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C-2C9B-4F81-8564-F87B50377741}"/>
            </c:ext>
          </c:extLst>
        </c:ser>
        <c:ser>
          <c:idx val="10"/>
          <c:order val="10"/>
          <c:tx>
            <c:v>RX 75-110GHz</c:v>
          </c:tx>
          <c:spPr>
            <a:ln w="25400" cap="rnd">
              <a:noFill/>
              <a:round/>
            </a:ln>
            <a:effectLst/>
          </c:spPr>
          <c:marker>
            <c:symbol val="square"/>
            <c:size val="6"/>
            <c:spPr>
              <a:solidFill>
                <a:srgbClr val="00B0F0">
                  <a:alpha val="75000"/>
                </a:srgbClr>
              </a:solidFill>
              <a:ln w="9525">
                <a:noFill/>
              </a:ln>
              <a:effectLst/>
            </c:spPr>
          </c:marker>
          <c:xVal>
            <c:numRef>
              <c:f>Plot_data_time!$M$2:$M$147</c:f>
              <c:numCache>
                <c:formatCode>m/d/yy</c:formatCode>
                <c:ptCount val="146"/>
                <c:pt idx="0">
                  <c:v>#N/A</c:v>
                </c:pt>
                <c:pt idx="1">
                  <c:v>#N/A</c:v>
                </c:pt>
                <c:pt idx="2">
                  <c:v>#N/A</c:v>
                </c:pt>
                <c:pt idx="3">
                  <c:v>40664</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42767</c:v>
                </c:pt>
                <c:pt idx="23">
                  <c:v>#N/A</c:v>
                </c:pt>
                <c:pt idx="24">
                  <c:v>#N/A</c:v>
                </c:pt>
                <c:pt idx="25">
                  <c:v>#N/A</c:v>
                </c:pt>
                <c:pt idx="26">
                  <c:v>43132</c:v>
                </c:pt>
                <c:pt idx="27">
                  <c:v>43132</c:v>
                </c:pt>
                <c:pt idx="28">
                  <c:v>#N/A</c:v>
                </c:pt>
                <c:pt idx="29">
                  <c:v>#N/A</c:v>
                </c:pt>
                <c:pt idx="30">
                  <c:v>#N/A</c:v>
                </c:pt>
                <c:pt idx="31">
                  <c:v>#N/A</c:v>
                </c:pt>
                <c:pt idx="32">
                  <c:v>#N/A</c:v>
                </c:pt>
                <c:pt idx="33">
                  <c:v>#N/A</c:v>
                </c:pt>
                <c:pt idx="34">
                  <c:v>#N/A</c:v>
                </c:pt>
                <c:pt idx="35">
                  <c:v>43344</c:v>
                </c:pt>
                <c:pt idx="36">
                  <c:v>#N/A</c:v>
                </c:pt>
                <c:pt idx="37">
                  <c:v>#N/A</c:v>
                </c:pt>
                <c:pt idx="38">
                  <c:v>43497</c:v>
                </c:pt>
                <c:pt idx="39">
                  <c:v>43497</c:v>
                </c:pt>
                <c:pt idx="40">
                  <c:v>#N/A</c:v>
                </c:pt>
                <c:pt idx="41">
                  <c:v>#N/A</c:v>
                </c:pt>
                <c:pt idx="42">
                  <c:v>43617</c:v>
                </c:pt>
                <c:pt idx="43">
                  <c:v>43617</c:v>
                </c:pt>
                <c:pt idx="44">
                  <c:v>#N/A</c:v>
                </c:pt>
                <c:pt idx="45">
                  <c:v>#N/A</c:v>
                </c:pt>
                <c:pt idx="46">
                  <c:v>#N/A</c:v>
                </c:pt>
                <c:pt idx="47">
                  <c:v>#N/A</c:v>
                </c:pt>
                <c:pt idx="48">
                  <c:v>#N/A</c:v>
                </c:pt>
                <c:pt idx="49">
                  <c:v>#N/A</c:v>
                </c:pt>
                <c:pt idx="50">
                  <c:v>#N/A</c:v>
                </c:pt>
                <c:pt idx="51">
                  <c:v>#N/A</c:v>
                </c:pt>
                <c:pt idx="52">
                  <c:v>#N/A</c:v>
                </c:pt>
                <c:pt idx="53">
                  <c:v>#N/A</c:v>
                </c:pt>
                <c:pt idx="54">
                  <c:v>44044</c:v>
                </c:pt>
                <c:pt idx="55">
                  <c:v>#N/A</c:v>
                </c:pt>
                <c:pt idx="56">
                  <c:v>#N/A</c:v>
                </c:pt>
                <c:pt idx="57">
                  <c:v>44044</c:v>
                </c:pt>
                <c:pt idx="58">
                  <c:v>#N/A</c:v>
                </c:pt>
                <c:pt idx="59">
                  <c:v>#N/A</c:v>
                </c:pt>
                <c:pt idx="60">
                  <c:v>#N/A</c:v>
                </c:pt>
                <c:pt idx="61">
                  <c:v>#N/A</c:v>
                </c:pt>
                <c:pt idx="62">
                  <c:v>44228</c:v>
                </c:pt>
                <c:pt idx="63">
                  <c:v>#N/A</c:v>
                </c:pt>
                <c:pt idx="64">
                  <c:v>#N/A</c:v>
                </c:pt>
                <c:pt idx="65">
                  <c:v>#N/A</c:v>
                </c:pt>
                <c:pt idx="66">
                  <c:v>#N/A</c:v>
                </c:pt>
                <c:pt idx="67">
                  <c:v>#N/A</c:v>
                </c:pt>
                <c:pt idx="68">
                  <c:v>#N/A</c:v>
                </c:pt>
                <c:pt idx="69">
                  <c:v>44317</c:v>
                </c:pt>
                <c:pt idx="70">
                  <c:v>#N/A</c:v>
                </c:pt>
                <c:pt idx="71">
                  <c:v>#N/A</c:v>
                </c:pt>
                <c:pt idx="72">
                  <c:v>#N/A</c:v>
                </c:pt>
                <c:pt idx="73">
                  <c:v>#N/A</c:v>
                </c:pt>
                <c:pt idx="74">
                  <c:v>44378</c:v>
                </c:pt>
                <c:pt idx="75">
                  <c:v>44409</c:v>
                </c:pt>
                <c:pt idx="76">
                  <c:v>#N/A</c:v>
                </c:pt>
                <c:pt idx="77">
                  <c:v>44501</c:v>
                </c:pt>
                <c:pt idx="78">
                  <c:v>#N/A</c:v>
                </c:pt>
                <c:pt idx="79">
                  <c:v>#N/A</c:v>
                </c:pt>
                <c:pt idx="80">
                  <c:v>#N/A</c:v>
                </c:pt>
                <c:pt idx="81">
                  <c:v>#N/A</c:v>
                </c:pt>
                <c:pt idx="82">
                  <c:v>#N/A</c:v>
                </c:pt>
                <c:pt idx="83">
                  <c:v>#N/A</c:v>
                </c:pt>
                <c:pt idx="84">
                  <c:v>#N/A</c:v>
                </c:pt>
                <c:pt idx="85">
                  <c:v>44562</c:v>
                </c:pt>
                <c:pt idx="86">
                  <c:v>44562</c:v>
                </c:pt>
                <c:pt idx="87">
                  <c:v>#N/A</c:v>
                </c:pt>
                <c:pt idx="88">
                  <c:v>#N/A</c:v>
                </c:pt>
                <c:pt idx="89">
                  <c:v>#N/A</c:v>
                </c:pt>
                <c:pt idx="90">
                  <c:v>#N/A</c:v>
                </c:pt>
                <c:pt idx="91">
                  <c:v>44593</c:v>
                </c:pt>
                <c:pt idx="92">
                  <c:v>44593</c:v>
                </c:pt>
                <c:pt idx="93">
                  <c:v>44593</c:v>
                </c:pt>
                <c:pt idx="94">
                  <c:v>#N/A</c:v>
                </c:pt>
                <c:pt idx="95">
                  <c:v>#N/A</c:v>
                </c:pt>
                <c:pt idx="96">
                  <c:v>#N/A</c:v>
                </c:pt>
                <c:pt idx="97">
                  <c:v>#N/A</c:v>
                </c:pt>
                <c:pt idx="98">
                  <c:v>#N/A</c:v>
                </c:pt>
                <c:pt idx="99">
                  <c:v>44593</c:v>
                </c:pt>
                <c:pt idx="100">
                  <c:v>#N/A</c:v>
                </c:pt>
                <c:pt idx="101">
                  <c:v>#N/A</c:v>
                </c:pt>
                <c:pt idx="102">
                  <c:v>#N/A</c:v>
                </c:pt>
                <c:pt idx="103">
                  <c:v>#N/A</c:v>
                </c:pt>
                <c:pt idx="104">
                  <c:v>#N/A</c:v>
                </c:pt>
                <c:pt idx="105">
                  <c:v>#N/A</c:v>
                </c:pt>
                <c:pt idx="106">
                  <c:v>#N/A</c:v>
                </c:pt>
                <c:pt idx="107">
                  <c:v>#N/A</c:v>
                </c:pt>
                <c:pt idx="108">
                  <c:v>#N/A</c:v>
                </c:pt>
                <c:pt idx="109">
                  <c:v>44743</c:v>
                </c:pt>
                <c:pt idx="110">
                  <c:v>#N/A</c:v>
                </c:pt>
                <c:pt idx="111">
                  <c:v>#N/A</c:v>
                </c:pt>
                <c:pt idx="112">
                  <c:v>44805</c:v>
                </c:pt>
                <c:pt idx="113">
                  <c:v>#N/A</c:v>
                </c:pt>
                <c:pt idx="114">
                  <c:v>44835</c:v>
                </c:pt>
                <c:pt idx="115">
                  <c:v>#N/A</c:v>
                </c:pt>
                <c:pt idx="116">
                  <c:v>44835</c:v>
                </c:pt>
                <c:pt idx="117">
                  <c:v>44835</c:v>
                </c:pt>
                <c:pt idx="118">
                  <c:v>44835</c:v>
                </c:pt>
                <c:pt idx="119">
                  <c:v>44835</c:v>
                </c:pt>
                <c:pt idx="120">
                  <c:v>44866</c:v>
                </c:pt>
                <c:pt idx="121">
                  <c:v>44866</c:v>
                </c:pt>
                <c:pt idx="122">
                  <c:v>#N/A</c:v>
                </c:pt>
                <c:pt idx="123">
                  <c:v>44896</c:v>
                </c:pt>
                <c:pt idx="124">
                  <c:v>#N/A</c:v>
                </c:pt>
                <c:pt idx="125">
                  <c:v>#N/A</c:v>
                </c:pt>
                <c:pt idx="126">
                  <c:v>#N/A</c:v>
                </c:pt>
                <c:pt idx="127">
                  <c:v>#N/A</c:v>
                </c:pt>
                <c:pt idx="128">
                  <c:v>#N/A</c:v>
                </c:pt>
                <c:pt idx="129">
                  <c:v>#N/A</c:v>
                </c:pt>
                <c:pt idx="130">
                  <c:v>#N/A</c:v>
                </c:pt>
                <c:pt idx="131">
                  <c:v>#N/A</c:v>
                </c:pt>
                <c:pt idx="132">
                  <c:v>44958</c:v>
                </c:pt>
                <c:pt idx="133">
                  <c:v>44958</c:v>
                </c:pt>
                <c:pt idx="134">
                  <c:v>#N/A</c:v>
                </c:pt>
                <c:pt idx="135">
                  <c:v>#N/A</c:v>
                </c:pt>
                <c:pt idx="136">
                  <c:v>#N/A</c:v>
                </c:pt>
                <c:pt idx="137">
                  <c:v>44958</c:v>
                </c:pt>
                <c:pt idx="138">
                  <c:v>#N/A</c:v>
                </c:pt>
                <c:pt idx="139">
                  <c:v>#N/A</c:v>
                </c:pt>
                <c:pt idx="140">
                  <c:v>#N/A</c:v>
                </c:pt>
                <c:pt idx="141">
                  <c:v>#N/A</c:v>
                </c:pt>
                <c:pt idx="142">
                  <c:v>#N/A</c:v>
                </c:pt>
                <c:pt idx="143">
                  <c:v>45047</c:v>
                </c:pt>
                <c:pt idx="144">
                  <c:v>#N/A</c:v>
                </c:pt>
                <c:pt idx="145">
                  <c:v>#N/A</c:v>
                </c:pt>
              </c:numCache>
            </c:numRef>
          </c:xVal>
          <c:yVal>
            <c:numRef>
              <c:f>Plot_data_time!$R$2:$R$147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64</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4</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4</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D-2C9B-4F81-8564-F87B50377741}"/>
            </c:ext>
          </c:extLst>
        </c:ser>
        <c:ser>
          <c:idx val="11"/>
          <c:order val="11"/>
          <c:tx>
            <c:v>RX 110-170GHz</c:v>
          </c:tx>
          <c:spPr>
            <a:ln w="25400" cap="rnd">
              <a:noFill/>
              <a:round/>
            </a:ln>
            <a:effectLst/>
          </c:spPr>
          <c:marker>
            <c:symbol val="square"/>
            <c:size val="6"/>
            <c:spPr>
              <a:solidFill>
                <a:srgbClr val="7030A0">
                  <a:alpha val="75000"/>
                </a:srgbClr>
              </a:solidFill>
              <a:ln w="9525">
                <a:noFill/>
              </a:ln>
              <a:effectLst/>
            </c:spPr>
          </c:marker>
          <c:xVal>
            <c:numRef>
              <c:f>Plot_data_time!$M$2:$M$147</c:f>
              <c:numCache>
                <c:formatCode>m/d/yy</c:formatCode>
                <c:ptCount val="146"/>
                <c:pt idx="0">
                  <c:v>#N/A</c:v>
                </c:pt>
                <c:pt idx="1">
                  <c:v>#N/A</c:v>
                </c:pt>
                <c:pt idx="2">
                  <c:v>#N/A</c:v>
                </c:pt>
                <c:pt idx="3">
                  <c:v>40664</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42767</c:v>
                </c:pt>
                <c:pt idx="23">
                  <c:v>#N/A</c:v>
                </c:pt>
                <c:pt idx="24">
                  <c:v>#N/A</c:v>
                </c:pt>
                <c:pt idx="25">
                  <c:v>#N/A</c:v>
                </c:pt>
                <c:pt idx="26">
                  <c:v>43132</c:v>
                </c:pt>
                <c:pt idx="27">
                  <c:v>43132</c:v>
                </c:pt>
                <c:pt idx="28">
                  <c:v>#N/A</c:v>
                </c:pt>
                <c:pt idx="29">
                  <c:v>#N/A</c:v>
                </c:pt>
                <c:pt idx="30">
                  <c:v>#N/A</c:v>
                </c:pt>
                <c:pt idx="31">
                  <c:v>#N/A</c:v>
                </c:pt>
                <c:pt idx="32">
                  <c:v>#N/A</c:v>
                </c:pt>
                <c:pt idx="33">
                  <c:v>#N/A</c:v>
                </c:pt>
                <c:pt idx="34">
                  <c:v>#N/A</c:v>
                </c:pt>
                <c:pt idx="35">
                  <c:v>43344</c:v>
                </c:pt>
                <c:pt idx="36">
                  <c:v>#N/A</c:v>
                </c:pt>
                <c:pt idx="37">
                  <c:v>#N/A</c:v>
                </c:pt>
                <c:pt idx="38">
                  <c:v>43497</c:v>
                </c:pt>
                <c:pt idx="39">
                  <c:v>43497</c:v>
                </c:pt>
                <c:pt idx="40">
                  <c:v>#N/A</c:v>
                </c:pt>
                <c:pt idx="41">
                  <c:v>#N/A</c:v>
                </c:pt>
                <c:pt idx="42">
                  <c:v>43617</c:v>
                </c:pt>
                <c:pt idx="43">
                  <c:v>43617</c:v>
                </c:pt>
                <c:pt idx="44">
                  <c:v>#N/A</c:v>
                </c:pt>
                <c:pt idx="45">
                  <c:v>#N/A</c:v>
                </c:pt>
                <c:pt idx="46">
                  <c:v>#N/A</c:v>
                </c:pt>
                <c:pt idx="47">
                  <c:v>#N/A</c:v>
                </c:pt>
                <c:pt idx="48">
                  <c:v>#N/A</c:v>
                </c:pt>
                <c:pt idx="49">
                  <c:v>#N/A</c:v>
                </c:pt>
                <c:pt idx="50">
                  <c:v>#N/A</c:v>
                </c:pt>
                <c:pt idx="51">
                  <c:v>#N/A</c:v>
                </c:pt>
                <c:pt idx="52">
                  <c:v>#N/A</c:v>
                </c:pt>
                <c:pt idx="53">
                  <c:v>#N/A</c:v>
                </c:pt>
                <c:pt idx="54">
                  <c:v>44044</c:v>
                </c:pt>
                <c:pt idx="55">
                  <c:v>#N/A</c:v>
                </c:pt>
                <c:pt idx="56">
                  <c:v>#N/A</c:v>
                </c:pt>
                <c:pt idx="57">
                  <c:v>44044</c:v>
                </c:pt>
                <c:pt idx="58">
                  <c:v>#N/A</c:v>
                </c:pt>
                <c:pt idx="59">
                  <c:v>#N/A</c:v>
                </c:pt>
                <c:pt idx="60">
                  <c:v>#N/A</c:v>
                </c:pt>
                <c:pt idx="61">
                  <c:v>#N/A</c:v>
                </c:pt>
                <c:pt idx="62">
                  <c:v>44228</c:v>
                </c:pt>
                <c:pt idx="63">
                  <c:v>#N/A</c:v>
                </c:pt>
                <c:pt idx="64">
                  <c:v>#N/A</c:v>
                </c:pt>
                <c:pt idx="65">
                  <c:v>#N/A</c:v>
                </c:pt>
                <c:pt idx="66">
                  <c:v>#N/A</c:v>
                </c:pt>
                <c:pt idx="67">
                  <c:v>#N/A</c:v>
                </c:pt>
                <c:pt idx="68">
                  <c:v>#N/A</c:v>
                </c:pt>
                <c:pt idx="69">
                  <c:v>44317</c:v>
                </c:pt>
                <c:pt idx="70">
                  <c:v>#N/A</c:v>
                </c:pt>
                <c:pt idx="71">
                  <c:v>#N/A</c:v>
                </c:pt>
                <c:pt idx="72">
                  <c:v>#N/A</c:v>
                </c:pt>
                <c:pt idx="73">
                  <c:v>#N/A</c:v>
                </c:pt>
                <c:pt idx="74">
                  <c:v>44378</c:v>
                </c:pt>
                <c:pt idx="75">
                  <c:v>44409</c:v>
                </c:pt>
                <c:pt idx="76">
                  <c:v>#N/A</c:v>
                </c:pt>
                <c:pt idx="77">
                  <c:v>44501</c:v>
                </c:pt>
                <c:pt idx="78">
                  <c:v>#N/A</c:v>
                </c:pt>
                <c:pt idx="79">
                  <c:v>#N/A</c:v>
                </c:pt>
                <c:pt idx="80">
                  <c:v>#N/A</c:v>
                </c:pt>
                <c:pt idx="81">
                  <c:v>#N/A</c:v>
                </c:pt>
                <c:pt idx="82">
                  <c:v>#N/A</c:v>
                </c:pt>
                <c:pt idx="83">
                  <c:v>#N/A</c:v>
                </c:pt>
                <c:pt idx="84">
                  <c:v>#N/A</c:v>
                </c:pt>
                <c:pt idx="85">
                  <c:v>44562</c:v>
                </c:pt>
                <c:pt idx="86">
                  <c:v>44562</c:v>
                </c:pt>
                <c:pt idx="87">
                  <c:v>#N/A</c:v>
                </c:pt>
                <c:pt idx="88">
                  <c:v>#N/A</c:v>
                </c:pt>
                <c:pt idx="89">
                  <c:v>#N/A</c:v>
                </c:pt>
                <c:pt idx="90">
                  <c:v>#N/A</c:v>
                </c:pt>
                <c:pt idx="91">
                  <c:v>44593</c:v>
                </c:pt>
                <c:pt idx="92">
                  <c:v>44593</c:v>
                </c:pt>
                <c:pt idx="93">
                  <c:v>44593</c:v>
                </c:pt>
                <c:pt idx="94">
                  <c:v>#N/A</c:v>
                </c:pt>
                <c:pt idx="95">
                  <c:v>#N/A</c:v>
                </c:pt>
                <c:pt idx="96">
                  <c:v>#N/A</c:v>
                </c:pt>
                <c:pt idx="97">
                  <c:v>#N/A</c:v>
                </c:pt>
                <c:pt idx="98">
                  <c:v>#N/A</c:v>
                </c:pt>
                <c:pt idx="99">
                  <c:v>44593</c:v>
                </c:pt>
                <c:pt idx="100">
                  <c:v>#N/A</c:v>
                </c:pt>
                <c:pt idx="101">
                  <c:v>#N/A</c:v>
                </c:pt>
                <c:pt idx="102">
                  <c:v>#N/A</c:v>
                </c:pt>
                <c:pt idx="103">
                  <c:v>#N/A</c:v>
                </c:pt>
                <c:pt idx="104">
                  <c:v>#N/A</c:v>
                </c:pt>
                <c:pt idx="105">
                  <c:v>#N/A</c:v>
                </c:pt>
                <c:pt idx="106">
                  <c:v>#N/A</c:v>
                </c:pt>
                <c:pt idx="107">
                  <c:v>#N/A</c:v>
                </c:pt>
                <c:pt idx="108">
                  <c:v>#N/A</c:v>
                </c:pt>
                <c:pt idx="109">
                  <c:v>44743</c:v>
                </c:pt>
                <c:pt idx="110">
                  <c:v>#N/A</c:v>
                </c:pt>
                <c:pt idx="111">
                  <c:v>#N/A</c:v>
                </c:pt>
                <c:pt idx="112">
                  <c:v>44805</c:v>
                </c:pt>
                <c:pt idx="113">
                  <c:v>#N/A</c:v>
                </c:pt>
                <c:pt idx="114">
                  <c:v>44835</c:v>
                </c:pt>
                <c:pt idx="115">
                  <c:v>#N/A</c:v>
                </c:pt>
                <c:pt idx="116">
                  <c:v>44835</c:v>
                </c:pt>
                <c:pt idx="117">
                  <c:v>44835</c:v>
                </c:pt>
                <c:pt idx="118">
                  <c:v>44835</c:v>
                </c:pt>
                <c:pt idx="119">
                  <c:v>44835</c:v>
                </c:pt>
                <c:pt idx="120">
                  <c:v>44866</c:v>
                </c:pt>
                <c:pt idx="121">
                  <c:v>44866</c:v>
                </c:pt>
                <c:pt idx="122">
                  <c:v>#N/A</c:v>
                </c:pt>
                <c:pt idx="123">
                  <c:v>44896</c:v>
                </c:pt>
                <c:pt idx="124">
                  <c:v>#N/A</c:v>
                </c:pt>
                <c:pt idx="125">
                  <c:v>#N/A</c:v>
                </c:pt>
                <c:pt idx="126">
                  <c:v>#N/A</c:v>
                </c:pt>
                <c:pt idx="127">
                  <c:v>#N/A</c:v>
                </c:pt>
                <c:pt idx="128">
                  <c:v>#N/A</c:v>
                </c:pt>
                <c:pt idx="129">
                  <c:v>#N/A</c:v>
                </c:pt>
                <c:pt idx="130">
                  <c:v>#N/A</c:v>
                </c:pt>
                <c:pt idx="131">
                  <c:v>#N/A</c:v>
                </c:pt>
                <c:pt idx="132">
                  <c:v>44958</c:v>
                </c:pt>
                <c:pt idx="133">
                  <c:v>44958</c:v>
                </c:pt>
                <c:pt idx="134">
                  <c:v>#N/A</c:v>
                </c:pt>
                <c:pt idx="135">
                  <c:v>#N/A</c:v>
                </c:pt>
                <c:pt idx="136">
                  <c:v>#N/A</c:v>
                </c:pt>
                <c:pt idx="137">
                  <c:v>44958</c:v>
                </c:pt>
                <c:pt idx="138">
                  <c:v>#N/A</c:v>
                </c:pt>
                <c:pt idx="139">
                  <c:v>#N/A</c:v>
                </c:pt>
                <c:pt idx="140">
                  <c:v>#N/A</c:v>
                </c:pt>
                <c:pt idx="141">
                  <c:v>#N/A</c:v>
                </c:pt>
                <c:pt idx="142">
                  <c:v>#N/A</c:v>
                </c:pt>
                <c:pt idx="143">
                  <c:v>45047</c:v>
                </c:pt>
                <c:pt idx="144">
                  <c:v>#N/A</c:v>
                </c:pt>
                <c:pt idx="145">
                  <c:v>#N/A</c:v>
                </c:pt>
              </c:numCache>
            </c:numRef>
          </c:xVal>
          <c:yVal>
            <c:numRef>
              <c:f>Plot_data_time!$S$2:$S$147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128</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8</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256</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16</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1</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E-2C9B-4F81-8564-F87B50377741}"/>
            </c:ext>
          </c:extLst>
        </c:ser>
        <c:ser>
          <c:idx val="12"/>
          <c:order val="12"/>
          <c:tx>
            <c:v>RX 170-260GHz</c:v>
          </c:tx>
          <c:spPr>
            <a:ln w="25400" cap="rnd">
              <a:noFill/>
              <a:round/>
            </a:ln>
            <a:effectLst/>
          </c:spPr>
          <c:marker>
            <c:symbol val="square"/>
            <c:size val="6"/>
            <c:spPr>
              <a:solidFill>
                <a:srgbClr val="FF66CC">
                  <a:alpha val="75000"/>
                </a:srgbClr>
              </a:solidFill>
              <a:ln w="9525">
                <a:noFill/>
              </a:ln>
              <a:effectLst/>
            </c:spPr>
          </c:marker>
          <c:xVal>
            <c:numRef>
              <c:f>Plot_data_time!$M$2:$M$147</c:f>
              <c:numCache>
                <c:formatCode>m/d/yy</c:formatCode>
                <c:ptCount val="146"/>
                <c:pt idx="0">
                  <c:v>#N/A</c:v>
                </c:pt>
                <c:pt idx="1">
                  <c:v>#N/A</c:v>
                </c:pt>
                <c:pt idx="2">
                  <c:v>#N/A</c:v>
                </c:pt>
                <c:pt idx="3">
                  <c:v>40664</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42767</c:v>
                </c:pt>
                <c:pt idx="23">
                  <c:v>#N/A</c:v>
                </c:pt>
                <c:pt idx="24">
                  <c:v>#N/A</c:v>
                </c:pt>
                <c:pt idx="25">
                  <c:v>#N/A</c:v>
                </c:pt>
                <c:pt idx="26">
                  <c:v>43132</c:v>
                </c:pt>
                <c:pt idx="27">
                  <c:v>43132</c:v>
                </c:pt>
                <c:pt idx="28">
                  <c:v>#N/A</c:v>
                </c:pt>
                <c:pt idx="29">
                  <c:v>#N/A</c:v>
                </c:pt>
                <c:pt idx="30">
                  <c:v>#N/A</c:v>
                </c:pt>
                <c:pt idx="31">
                  <c:v>#N/A</c:v>
                </c:pt>
                <c:pt idx="32">
                  <c:v>#N/A</c:v>
                </c:pt>
                <c:pt idx="33">
                  <c:v>#N/A</c:v>
                </c:pt>
                <c:pt idx="34">
                  <c:v>#N/A</c:v>
                </c:pt>
                <c:pt idx="35">
                  <c:v>43344</c:v>
                </c:pt>
                <c:pt idx="36">
                  <c:v>#N/A</c:v>
                </c:pt>
                <c:pt idx="37">
                  <c:v>#N/A</c:v>
                </c:pt>
                <c:pt idx="38">
                  <c:v>43497</c:v>
                </c:pt>
                <c:pt idx="39">
                  <c:v>43497</c:v>
                </c:pt>
                <c:pt idx="40">
                  <c:v>#N/A</c:v>
                </c:pt>
                <c:pt idx="41">
                  <c:v>#N/A</c:v>
                </c:pt>
                <c:pt idx="42">
                  <c:v>43617</c:v>
                </c:pt>
                <c:pt idx="43">
                  <c:v>43617</c:v>
                </c:pt>
                <c:pt idx="44">
                  <c:v>#N/A</c:v>
                </c:pt>
                <c:pt idx="45">
                  <c:v>#N/A</c:v>
                </c:pt>
                <c:pt idx="46">
                  <c:v>#N/A</c:v>
                </c:pt>
                <c:pt idx="47">
                  <c:v>#N/A</c:v>
                </c:pt>
                <c:pt idx="48">
                  <c:v>#N/A</c:v>
                </c:pt>
                <c:pt idx="49">
                  <c:v>#N/A</c:v>
                </c:pt>
                <c:pt idx="50">
                  <c:v>#N/A</c:v>
                </c:pt>
                <c:pt idx="51">
                  <c:v>#N/A</c:v>
                </c:pt>
                <c:pt idx="52">
                  <c:v>#N/A</c:v>
                </c:pt>
                <c:pt idx="53">
                  <c:v>#N/A</c:v>
                </c:pt>
                <c:pt idx="54">
                  <c:v>44044</c:v>
                </c:pt>
                <c:pt idx="55">
                  <c:v>#N/A</c:v>
                </c:pt>
                <c:pt idx="56">
                  <c:v>#N/A</c:v>
                </c:pt>
                <c:pt idx="57">
                  <c:v>44044</c:v>
                </c:pt>
                <c:pt idx="58">
                  <c:v>#N/A</c:v>
                </c:pt>
                <c:pt idx="59">
                  <c:v>#N/A</c:v>
                </c:pt>
                <c:pt idx="60">
                  <c:v>#N/A</c:v>
                </c:pt>
                <c:pt idx="61">
                  <c:v>#N/A</c:v>
                </c:pt>
                <c:pt idx="62">
                  <c:v>44228</c:v>
                </c:pt>
                <c:pt idx="63">
                  <c:v>#N/A</c:v>
                </c:pt>
                <c:pt idx="64">
                  <c:v>#N/A</c:v>
                </c:pt>
                <c:pt idx="65">
                  <c:v>#N/A</c:v>
                </c:pt>
                <c:pt idx="66">
                  <c:v>#N/A</c:v>
                </c:pt>
                <c:pt idx="67">
                  <c:v>#N/A</c:v>
                </c:pt>
                <c:pt idx="68">
                  <c:v>#N/A</c:v>
                </c:pt>
                <c:pt idx="69">
                  <c:v>44317</c:v>
                </c:pt>
                <c:pt idx="70">
                  <c:v>#N/A</c:v>
                </c:pt>
                <c:pt idx="71">
                  <c:v>#N/A</c:v>
                </c:pt>
                <c:pt idx="72">
                  <c:v>#N/A</c:v>
                </c:pt>
                <c:pt idx="73">
                  <c:v>#N/A</c:v>
                </c:pt>
                <c:pt idx="74">
                  <c:v>44378</c:v>
                </c:pt>
                <c:pt idx="75">
                  <c:v>44409</c:v>
                </c:pt>
                <c:pt idx="76">
                  <c:v>#N/A</c:v>
                </c:pt>
                <c:pt idx="77">
                  <c:v>44501</c:v>
                </c:pt>
                <c:pt idx="78">
                  <c:v>#N/A</c:v>
                </c:pt>
                <c:pt idx="79">
                  <c:v>#N/A</c:v>
                </c:pt>
                <c:pt idx="80">
                  <c:v>#N/A</c:v>
                </c:pt>
                <c:pt idx="81">
                  <c:v>#N/A</c:v>
                </c:pt>
                <c:pt idx="82">
                  <c:v>#N/A</c:v>
                </c:pt>
                <c:pt idx="83">
                  <c:v>#N/A</c:v>
                </c:pt>
                <c:pt idx="84">
                  <c:v>#N/A</c:v>
                </c:pt>
                <c:pt idx="85">
                  <c:v>44562</c:v>
                </c:pt>
                <c:pt idx="86">
                  <c:v>44562</c:v>
                </c:pt>
                <c:pt idx="87">
                  <c:v>#N/A</c:v>
                </c:pt>
                <c:pt idx="88">
                  <c:v>#N/A</c:v>
                </c:pt>
                <c:pt idx="89">
                  <c:v>#N/A</c:v>
                </c:pt>
                <c:pt idx="90">
                  <c:v>#N/A</c:v>
                </c:pt>
                <c:pt idx="91">
                  <c:v>44593</c:v>
                </c:pt>
                <c:pt idx="92">
                  <c:v>44593</c:v>
                </c:pt>
                <c:pt idx="93">
                  <c:v>44593</c:v>
                </c:pt>
                <c:pt idx="94">
                  <c:v>#N/A</c:v>
                </c:pt>
                <c:pt idx="95">
                  <c:v>#N/A</c:v>
                </c:pt>
                <c:pt idx="96">
                  <c:v>#N/A</c:v>
                </c:pt>
                <c:pt idx="97">
                  <c:v>#N/A</c:v>
                </c:pt>
                <c:pt idx="98">
                  <c:v>#N/A</c:v>
                </c:pt>
                <c:pt idx="99">
                  <c:v>44593</c:v>
                </c:pt>
                <c:pt idx="100">
                  <c:v>#N/A</c:v>
                </c:pt>
                <c:pt idx="101">
                  <c:v>#N/A</c:v>
                </c:pt>
                <c:pt idx="102">
                  <c:v>#N/A</c:v>
                </c:pt>
                <c:pt idx="103">
                  <c:v>#N/A</c:v>
                </c:pt>
                <c:pt idx="104">
                  <c:v>#N/A</c:v>
                </c:pt>
                <c:pt idx="105">
                  <c:v>#N/A</c:v>
                </c:pt>
                <c:pt idx="106">
                  <c:v>#N/A</c:v>
                </c:pt>
                <c:pt idx="107">
                  <c:v>#N/A</c:v>
                </c:pt>
                <c:pt idx="108">
                  <c:v>#N/A</c:v>
                </c:pt>
                <c:pt idx="109">
                  <c:v>44743</c:v>
                </c:pt>
                <c:pt idx="110">
                  <c:v>#N/A</c:v>
                </c:pt>
                <c:pt idx="111">
                  <c:v>#N/A</c:v>
                </c:pt>
                <c:pt idx="112">
                  <c:v>44805</c:v>
                </c:pt>
                <c:pt idx="113">
                  <c:v>#N/A</c:v>
                </c:pt>
                <c:pt idx="114">
                  <c:v>44835</c:v>
                </c:pt>
                <c:pt idx="115">
                  <c:v>#N/A</c:v>
                </c:pt>
                <c:pt idx="116">
                  <c:v>44835</c:v>
                </c:pt>
                <c:pt idx="117">
                  <c:v>44835</c:v>
                </c:pt>
                <c:pt idx="118">
                  <c:v>44835</c:v>
                </c:pt>
                <c:pt idx="119">
                  <c:v>44835</c:v>
                </c:pt>
                <c:pt idx="120">
                  <c:v>44866</c:v>
                </c:pt>
                <c:pt idx="121">
                  <c:v>44866</c:v>
                </c:pt>
                <c:pt idx="122">
                  <c:v>#N/A</c:v>
                </c:pt>
                <c:pt idx="123">
                  <c:v>44896</c:v>
                </c:pt>
                <c:pt idx="124">
                  <c:v>#N/A</c:v>
                </c:pt>
                <c:pt idx="125">
                  <c:v>#N/A</c:v>
                </c:pt>
                <c:pt idx="126">
                  <c:v>#N/A</c:v>
                </c:pt>
                <c:pt idx="127">
                  <c:v>#N/A</c:v>
                </c:pt>
                <c:pt idx="128">
                  <c:v>#N/A</c:v>
                </c:pt>
                <c:pt idx="129">
                  <c:v>#N/A</c:v>
                </c:pt>
                <c:pt idx="130">
                  <c:v>#N/A</c:v>
                </c:pt>
                <c:pt idx="131">
                  <c:v>#N/A</c:v>
                </c:pt>
                <c:pt idx="132">
                  <c:v>44958</c:v>
                </c:pt>
                <c:pt idx="133">
                  <c:v>44958</c:v>
                </c:pt>
                <c:pt idx="134">
                  <c:v>#N/A</c:v>
                </c:pt>
                <c:pt idx="135">
                  <c:v>#N/A</c:v>
                </c:pt>
                <c:pt idx="136">
                  <c:v>#N/A</c:v>
                </c:pt>
                <c:pt idx="137">
                  <c:v>44958</c:v>
                </c:pt>
                <c:pt idx="138">
                  <c:v>#N/A</c:v>
                </c:pt>
                <c:pt idx="139">
                  <c:v>#N/A</c:v>
                </c:pt>
                <c:pt idx="140">
                  <c:v>#N/A</c:v>
                </c:pt>
                <c:pt idx="141">
                  <c:v>#N/A</c:v>
                </c:pt>
                <c:pt idx="142">
                  <c:v>#N/A</c:v>
                </c:pt>
                <c:pt idx="143">
                  <c:v>45047</c:v>
                </c:pt>
                <c:pt idx="144">
                  <c:v>#N/A</c:v>
                </c:pt>
                <c:pt idx="145">
                  <c:v>#N/A</c:v>
                </c:pt>
              </c:numCache>
            </c:numRef>
          </c:xVal>
          <c:yVal>
            <c:numRef>
              <c:f>Plot_data_time!$T$2:$T$147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F-2C9B-4F81-8564-F87B50377741}"/>
            </c:ext>
          </c:extLst>
        </c:ser>
        <c:ser>
          <c:idx val="13"/>
          <c:order val="13"/>
          <c:tx>
            <c:v>RX  &gt;260GHz</c:v>
          </c:tx>
          <c:spPr>
            <a:ln w="25400" cap="rnd">
              <a:noFill/>
              <a:round/>
            </a:ln>
            <a:effectLst/>
          </c:spPr>
          <c:marker>
            <c:symbol val="square"/>
            <c:size val="6"/>
            <c:spPr>
              <a:solidFill>
                <a:srgbClr val="002060">
                  <a:alpha val="75000"/>
                </a:srgbClr>
              </a:solidFill>
              <a:ln w="9525">
                <a:noFill/>
              </a:ln>
              <a:effectLst/>
            </c:spPr>
          </c:marker>
          <c:xVal>
            <c:numRef>
              <c:f>Plot_data_time!$M$2:$M$147</c:f>
              <c:numCache>
                <c:formatCode>m/d/yy</c:formatCode>
                <c:ptCount val="146"/>
                <c:pt idx="0">
                  <c:v>#N/A</c:v>
                </c:pt>
                <c:pt idx="1">
                  <c:v>#N/A</c:v>
                </c:pt>
                <c:pt idx="2">
                  <c:v>#N/A</c:v>
                </c:pt>
                <c:pt idx="3">
                  <c:v>40664</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42767</c:v>
                </c:pt>
                <c:pt idx="23">
                  <c:v>#N/A</c:v>
                </c:pt>
                <c:pt idx="24">
                  <c:v>#N/A</c:v>
                </c:pt>
                <c:pt idx="25">
                  <c:v>#N/A</c:v>
                </c:pt>
                <c:pt idx="26">
                  <c:v>43132</c:v>
                </c:pt>
                <c:pt idx="27">
                  <c:v>43132</c:v>
                </c:pt>
                <c:pt idx="28">
                  <c:v>#N/A</c:v>
                </c:pt>
                <c:pt idx="29">
                  <c:v>#N/A</c:v>
                </c:pt>
                <c:pt idx="30">
                  <c:v>#N/A</c:v>
                </c:pt>
                <c:pt idx="31">
                  <c:v>#N/A</c:v>
                </c:pt>
                <c:pt idx="32">
                  <c:v>#N/A</c:v>
                </c:pt>
                <c:pt idx="33">
                  <c:v>#N/A</c:v>
                </c:pt>
                <c:pt idx="34">
                  <c:v>#N/A</c:v>
                </c:pt>
                <c:pt idx="35">
                  <c:v>43344</c:v>
                </c:pt>
                <c:pt idx="36">
                  <c:v>#N/A</c:v>
                </c:pt>
                <c:pt idx="37">
                  <c:v>#N/A</c:v>
                </c:pt>
                <c:pt idx="38">
                  <c:v>43497</c:v>
                </c:pt>
                <c:pt idx="39">
                  <c:v>43497</c:v>
                </c:pt>
                <c:pt idx="40">
                  <c:v>#N/A</c:v>
                </c:pt>
                <c:pt idx="41">
                  <c:v>#N/A</c:v>
                </c:pt>
                <c:pt idx="42">
                  <c:v>43617</c:v>
                </c:pt>
                <c:pt idx="43">
                  <c:v>43617</c:v>
                </c:pt>
                <c:pt idx="44">
                  <c:v>#N/A</c:v>
                </c:pt>
                <c:pt idx="45">
                  <c:v>#N/A</c:v>
                </c:pt>
                <c:pt idx="46">
                  <c:v>#N/A</c:v>
                </c:pt>
                <c:pt idx="47">
                  <c:v>#N/A</c:v>
                </c:pt>
                <c:pt idx="48">
                  <c:v>#N/A</c:v>
                </c:pt>
                <c:pt idx="49">
                  <c:v>#N/A</c:v>
                </c:pt>
                <c:pt idx="50">
                  <c:v>#N/A</c:v>
                </c:pt>
                <c:pt idx="51">
                  <c:v>#N/A</c:v>
                </c:pt>
                <c:pt idx="52">
                  <c:v>#N/A</c:v>
                </c:pt>
                <c:pt idx="53">
                  <c:v>#N/A</c:v>
                </c:pt>
                <c:pt idx="54">
                  <c:v>44044</c:v>
                </c:pt>
                <c:pt idx="55">
                  <c:v>#N/A</c:v>
                </c:pt>
                <c:pt idx="56">
                  <c:v>#N/A</c:v>
                </c:pt>
                <c:pt idx="57">
                  <c:v>44044</c:v>
                </c:pt>
                <c:pt idx="58">
                  <c:v>#N/A</c:v>
                </c:pt>
                <c:pt idx="59">
                  <c:v>#N/A</c:v>
                </c:pt>
                <c:pt idx="60">
                  <c:v>#N/A</c:v>
                </c:pt>
                <c:pt idx="61">
                  <c:v>#N/A</c:v>
                </c:pt>
                <c:pt idx="62">
                  <c:v>44228</c:v>
                </c:pt>
                <c:pt idx="63">
                  <c:v>#N/A</c:v>
                </c:pt>
                <c:pt idx="64">
                  <c:v>#N/A</c:v>
                </c:pt>
                <c:pt idx="65">
                  <c:v>#N/A</c:v>
                </c:pt>
                <c:pt idx="66">
                  <c:v>#N/A</c:v>
                </c:pt>
                <c:pt idx="67">
                  <c:v>#N/A</c:v>
                </c:pt>
                <c:pt idx="68">
                  <c:v>#N/A</c:v>
                </c:pt>
                <c:pt idx="69">
                  <c:v>44317</c:v>
                </c:pt>
                <c:pt idx="70">
                  <c:v>#N/A</c:v>
                </c:pt>
                <c:pt idx="71">
                  <c:v>#N/A</c:v>
                </c:pt>
                <c:pt idx="72">
                  <c:v>#N/A</c:v>
                </c:pt>
                <c:pt idx="73">
                  <c:v>#N/A</c:v>
                </c:pt>
                <c:pt idx="74">
                  <c:v>44378</c:v>
                </c:pt>
                <c:pt idx="75">
                  <c:v>44409</c:v>
                </c:pt>
                <c:pt idx="76">
                  <c:v>#N/A</c:v>
                </c:pt>
                <c:pt idx="77">
                  <c:v>44501</c:v>
                </c:pt>
                <c:pt idx="78">
                  <c:v>#N/A</c:v>
                </c:pt>
                <c:pt idx="79">
                  <c:v>#N/A</c:v>
                </c:pt>
                <c:pt idx="80">
                  <c:v>#N/A</c:v>
                </c:pt>
                <c:pt idx="81">
                  <c:v>#N/A</c:v>
                </c:pt>
                <c:pt idx="82">
                  <c:v>#N/A</c:v>
                </c:pt>
                <c:pt idx="83">
                  <c:v>#N/A</c:v>
                </c:pt>
                <c:pt idx="84">
                  <c:v>#N/A</c:v>
                </c:pt>
                <c:pt idx="85">
                  <c:v>44562</c:v>
                </c:pt>
                <c:pt idx="86">
                  <c:v>44562</c:v>
                </c:pt>
                <c:pt idx="87">
                  <c:v>#N/A</c:v>
                </c:pt>
                <c:pt idx="88">
                  <c:v>#N/A</c:v>
                </c:pt>
                <c:pt idx="89">
                  <c:v>#N/A</c:v>
                </c:pt>
                <c:pt idx="90">
                  <c:v>#N/A</c:v>
                </c:pt>
                <c:pt idx="91">
                  <c:v>44593</c:v>
                </c:pt>
                <c:pt idx="92">
                  <c:v>44593</c:v>
                </c:pt>
                <c:pt idx="93">
                  <c:v>44593</c:v>
                </c:pt>
                <c:pt idx="94">
                  <c:v>#N/A</c:v>
                </c:pt>
                <c:pt idx="95">
                  <c:v>#N/A</c:v>
                </c:pt>
                <c:pt idx="96">
                  <c:v>#N/A</c:v>
                </c:pt>
                <c:pt idx="97">
                  <c:v>#N/A</c:v>
                </c:pt>
                <c:pt idx="98">
                  <c:v>#N/A</c:v>
                </c:pt>
                <c:pt idx="99">
                  <c:v>44593</c:v>
                </c:pt>
                <c:pt idx="100">
                  <c:v>#N/A</c:v>
                </c:pt>
                <c:pt idx="101">
                  <c:v>#N/A</c:v>
                </c:pt>
                <c:pt idx="102">
                  <c:v>#N/A</c:v>
                </c:pt>
                <c:pt idx="103">
                  <c:v>#N/A</c:v>
                </c:pt>
                <c:pt idx="104">
                  <c:v>#N/A</c:v>
                </c:pt>
                <c:pt idx="105">
                  <c:v>#N/A</c:v>
                </c:pt>
                <c:pt idx="106">
                  <c:v>#N/A</c:v>
                </c:pt>
                <c:pt idx="107">
                  <c:v>#N/A</c:v>
                </c:pt>
                <c:pt idx="108">
                  <c:v>#N/A</c:v>
                </c:pt>
                <c:pt idx="109">
                  <c:v>44743</c:v>
                </c:pt>
                <c:pt idx="110">
                  <c:v>#N/A</c:v>
                </c:pt>
                <c:pt idx="111">
                  <c:v>#N/A</c:v>
                </c:pt>
                <c:pt idx="112">
                  <c:v>44805</c:v>
                </c:pt>
                <c:pt idx="113">
                  <c:v>#N/A</c:v>
                </c:pt>
                <c:pt idx="114">
                  <c:v>44835</c:v>
                </c:pt>
                <c:pt idx="115">
                  <c:v>#N/A</c:v>
                </c:pt>
                <c:pt idx="116">
                  <c:v>44835</c:v>
                </c:pt>
                <c:pt idx="117">
                  <c:v>44835</c:v>
                </c:pt>
                <c:pt idx="118">
                  <c:v>44835</c:v>
                </c:pt>
                <c:pt idx="119">
                  <c:v>44835</c:v>
                </c:pt>
                <c:pt idx="120">
                  <c:v>44866</c:v>
                </c:pt>
                <c:pt idx="121">
                  <c:v>44866</c:v>
                </c:pt>
                <c:pt idx="122">
                  <c:v>#N/A</c:v>
                </c:pt>
                <c:pt idx="123">
                  <c:v>44896</c:v>
                </c:pt>
                <c:pt idx="124">
                  <c:v>#N/A</c:v>
                </c:pt>
                <c:pt idx="125">
                  <c:v>#N/A</c:v>
                </c:pt>
                <c:pt idx="126">
                  <c:v>#N/A</c:v>
                </c:pt>
                <c:pt idx="127">
                  <c:v>#N/A</c:v>
                </c:pt>
                <c:pt idx="128">
                  <c:v>#N/A</c:v>
                </c:pt>
                <c:pt idx="129">
                  <c:v>#N/A</c:v>
                </c:pt>
                <c:pt idx="130">
                  <c:v>#N/A</c:v>
                </c:pt>
                <c:pt idx="131">
                  <c:v>#N/A</c:v>
                </c:pt>
                <c:pt idx="132">
                  <c:v>44958</c:v>
                </c:pt>
                <c:pt idx="133">
                  <c:v>44958</c:v>
                </c:pt>
                <c:pt idx="134">
                  <c:v>#N/A</c:v>
                </c:pt>
                <c:pt idx="135">
                  <c:v>#N/A</c:v>
                </c:pt>
                <c:pt idx="136">
                  <c:v>#N/A</c:v>
                </c:pt>
                <c:pt idx="137">
                  <c:v>44958</c:v>
                </c:pt>
                <c:pt idx="138">
                  <c:v>#N/A</c:v>
                </c:pt>
                <c:pt idx="139">
                  <c:v>#N/A</c:v>
                </c:pt>
                <c:pt idx="140">
                  <c:v>#N/A</c:v>
                </c:pt>
                <c:pt idx="141">
                  <c:v>#N/A</c:v>
                </c:pt>
                <c:pt idx="142">
                  <c:v>#N/A</c:v>
                </c:pt>
                <c:pt idx="143">
                  <c:v>45047</c:v>
                </c:pt>
                <c:pt idx="144">
                  <c:v>#N/A</c:v>
                </c:pt>
                <c:pt idx="145">
                  <c:v>#N/A</c:v>
                </c:pt>
              </c:numCache>
            </c:numRef>
          </c:xVal>
          <c:yVal>
            <c:numRef>
              <c:f>Plot_data_time!$U$2:$U$147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1</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1</c:v>
                </c:pt>
                <c:pt idx="55">
                  <c:v>#N/A</c:v>
                </c:pt>
                <c:pt idx="56">
                  <c:v>#N/A</c:v>
                </c:pt>
                <c:pt idx="57">
                  <c:v>#N/A</c:v>
                </c:pt>
                <c:pt idx="58">
                  <c:v>#N/A</c:v>
                </c:pt>
                <c:pt idx="59">
                  <c:v>#N/A</c:v>
                </c:pt>
                <c:pt idx="60">
                  <c:v>#N/A</c:v>
                </c:pt>
                <c:pt idx="61">
                  <c:v>#N/A</c:v>
                </c:pt>
                <c:pt idx="62">
                  <c:v>1</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1</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10-2C9B-4F81-8564-F87B50377741}"/>
            </c:ext>
          </c:extLst>
        </c:ser>
        <c:ser>
          <c:idx val="14"/>
          <c:order val="14"/>
          <c:tx>
            <c:v>TRX &lt;20GHz</c:v>
          </c:tx>
          <c:spPr>
            <a:ln w="25400" cap="rnd">
              <a:noFill/>
              <a:round/>
            </a:ln>
            <a:effectLst/>
          </c:spPr>
          <c:marker>
            <c:symbol val="triangle"/>
            <c:size val="8"/>
            <c:spPr>
              <a:solidFill>
                <a:srgbClr val="FF0000">
                  <a:alpha val="75000"/>
                </a:srgbClr>
              </a:solidFill>
              <a:ln w="9525">
                <a:noFill/>
              </a:ln>
              <a:effectLst/>
            </c:spPr>
          </c:marker>
          <c:xVal>
            <c:numRef>
              <c:f>Plot_data_time!$X$2:$X$147</c:f>
              <c:numCache>
                <c:formatCode>m/d/yy</c:formatCode>
                <c:ptCount val="146"/>
                <c:pt idx="0">
                  <c:v>#N/A</c:v>
                </c:pt>
                <c:pt idx="1">
                  <c:v>40575</c:v>
                </c:pt>
                <c:pt idx="2">
                  <c:v>40575</c:v>
                </c:pt>
                <c:pt idx="3">
                  <c:v>#N/A</c:v>
                </c:pt>
                <c:pt idx="4">
                  <c:v>#N/A</c:v>
                </c:pt>
                <c:pt idx="5">
                  <c:v>#N/A</c:v>
                </c:pt>
                <c:pt idx="6">
                  <c:v>#N/A</c:v>
                </c:pt>
                <c:pt idx="7">
                  <c:v>#N/A</c:v>
                </c:pt>
                <c:pt idx="8">
                  <c:v>41334</c:v>
                </c:pt>
                <c:pt idx="9">
                  <c:v>41426</c:v>
                </c:pt>
                <c:pt idx="10">
                  <c:v>41456</c:v>
                </c:pt>
                <c:pt idx="11">
                  <c:v>#N/A</c:v>
                </c:pt>
                <c:pt idx="12">
                  <c:v>#N/A</c:v>
                </c:pt>
                <c:pt idx="13">
                  <c:v>41974</c:v>
                </c:pt>
                <c:pt idx="14">
                  <c:v>42125</c:v>
                </c:pt>
                <c:pt idx="15">
                  <c:v>42125</c:v>
                </c:pt>
                <c:pt idx="16">
                  <c:v>#N/A</c:v>
                </c:pt>
                <c:pt idx="17">
                  <c:v>#N/A</c:v>
                </c:pt>
                <c:pt idx="18">
                  <c:v>#N/A</c:v>
                </c:pt>
                <c:pt idx="19">
                  <c:v>#N/A</c:v>
                </c:pt>
                <c:pt idx="20">
                  <c:v>42767</c:v>
                </c:pt>
                <c:pt idx="21">
                  <c:v>#N/A</c:v>
                </c:pt>
                <c:pt idx="22">
                  <c:v>#N/A</c:v>
                </c:pt>
                <c:pt idx="23">
                  <c:v>#N/A</c:v>
                </c:pt>
                <c:pt idx="24">
                  <c:v>43132</c:v>
                </c:pt>
                <c:pt idx="25">
                  <c:v>43132</c:v>
                </c:pt>
                <c:pt idx="26">
                  <c:v>#N/A</c:v>
                </c:pt>
                <c:pt idx="27">
                  <c:v>#N/A</c:v>
                </c:pt>
                <c:pt idx="28">
                  <c:v>43132</c:v>
                </c:pt>
                <c:pt idx="29">
                  <c:v>43132</c:v>
                </c:pt>
                <c:pt idx="30">
                  <c:v>43132</c:v>
                </c:pt>
                <c:pt idx="31">
                  <c:v>43132</c:v>
                </c:pt>
                <c:pt idx="32">
                  <c:v>#N/A</c:v>
                </c:pt>
                <c:pt idx="33">
                  <c:v>43313</c:v>
                </c:pt>
                <c:pt idx="34">
                  <c:v>#N/A</c:v>
                </c:pt>
                <c:pt idx="35">
                  <c:v>#N/A</c:v>
                </c:pt>
                <c:pt idx="36">
                  <c:v>#N/A</c:v>
                </c:pt>
                <c:pt idx="37">
                  <c:v>43497</c:v>
                </c:pt>
                <c:pt idx="38">
                  <c:v>#N/A</c:v>
                </c:pt>
                <c:pt idx="39">
                  <c:v>#N/A</c:v>
                </c:pt>
                <c:pt idx="40">
                  <c:v>43497</c:v>
                </c:pt>
                <c:pt idx="41">
                  <c:v>43497</c:v>
                </c:pt>
                <c:pt idx="42">
                  <c:v>#N/A</c:v>
                </c:pt>
                <c:pt idx="43">
                  <c:v>#N/A</c:v>
                </c:pt>
                <c:pt idx="44">
                  <c:v>43617</c:v>
                </c:pt>
                <c:pt idx="45">
                  <c:v>43709</c:v>
                </c:pt>
                <c:pt idx="46">
                  <c:v>#N/A</c:v>
                </c:pt>
                <c:pt idx="47">
                  <c:v>#N/A</c:v>
                </c:pt>
                <c:pt idx="48">
                  <c:v>#N/A</c:v>
                </c:pt>
                <c:pt idx="49">
                  <c:v>#N/A</c:v>
                </c:pt>
                <c:pt idx="50">
                  <c:v>#N/A</c:v>
                </c:pt>
                <c:pt idx="51">
                  <c:v>44044</c:v>
                </c:pt>
                <c:pt idx="52">
                  <c:v>44044</c:v>
                </c:pt>
                <c:pt idx="53">
                  <c:v>44044</c:v>
                </c:pt>
                <c:pt idx="54">
                  <c:v>#N/A</c:v>
                </c:pt>
                <c:pt idx="55">
                  <c:v>#N/A</c:v>
                </c:pt>
                <c:pt idx="56">
                  <c:v>#N/A</c:v>
                </c:pt>
                <c:pt idx="57">
                  <c:v>#N/A</c:v>
                </c:pt>
                <c:pt idx="58">
                  <c:v>44075</c:v>
                </c:pt>
                <c:pt idx="59">
                  <c:v>44197</c:v>
                </c:pt>
                <c:pt idx="60">
                  <c:v>44197</c:v>
                </c:pt>
                <c:pt idx="61">
                  <c:v>#N/A</c:v>
                </c:pt>
                <c:pt idx="62">
                  <c:v>#N/A</c:v>
                </c:pt>
                <c:pt idx="63">
                  <c:v>#N/A</c:v>
                </c:pt>
                <c:pt idx="64">
                  <c:v>44228</c:v>
                </c:pt>
                <c:pt idx="65">
                  <c:v>#N/A</c:v>
                </c:pt>
                <c:pt idx="66">
                  <c:v>#N/A</c:v>
                </c:pt>
                <c:pt idx="67">
                  <c:v>44228</c:v>
                </c:pt>
                <c:pt idx="68">
                  <c:v>#N/A</c:v>
                </c:pt>
                <c:pt idx="69">
                  <c:v>#N/A</c:v>
                </c:pt>
                <c:pt idx="70">
                  <c:v>#N/A</c:v>
                </c:pt>
                <c:pt idx="71">
                  <c:v>#N/A</c:v>
                </c:pt>
                <c:pt idx="72">
                  <c:v>44348</c:v>
                </c:pt>
                <c:pt idx="73">
                  <c:v>44348</c:v>
                </c:pt>
                <c:pt idx="74">
                  <c:v>#N/A</c:v>
                </c:pt>
                <c:pt idx="75">
                  <c:v>#N/A</c:v>
                </c:pt>
                <c:pt idx="76">
                  <c:v>#N/A</c:v>
                </c:pt>
                <c:pt idx="77">
                  <c:v>#N/A</c:v>
                </c:pt>
                <c:pt idx="78">
                  <c:v>#N/A</c:v>
                </c:pt>
                <c:pt idx="79">
                  <c:v>#N/A</c:v>
                </c:pt>
                <c:pt idx="80">
                  <c:v>#N/A</c:v>
                </c:pt>
                <c:pt idx="81">
                  <c:v>#N/A</c:v>
                </c:pt>
                <c:pt idx="82">
                  <c:v>#N/A</c:v>
                </c:pt>
                <c:pt idx="83">
                  <c:v>44562</c:v>
                </c:pt>
                <c:pt idx="84">
                  <c:v>#N/A</c:v>
                </c:pt>
                <c:pt idx="85">
                  <c:v>#N/A</c:v>
                </c:pt>
                <c:pt idx="86">
                  <c:v>#N/A</c:v>
                </c:pt>
                <c:pt idx="87">
                  <c:v>#N/A</c:v>
                </c:pt>
                <c:pt idx="88">
                  <c:v>44593</c:v>
                </c:pt>
                <c:pt idx="89">
                  <c:v>44593</c:v>
                </c:pt>
                <c:pt idx="90">
                  <c:v>44593</c:v>
                </c:pt>
                <c:pt idx="91">
                  <c:v>#N/A</c:v>
                </c:pt>
                <c:pt idx="92">
                  <c:v>#N/A</c:v>
                </c:pt>
                <c:pt idx="93">
                  <c:v>#N/A</c:v>
                </c:pt>
                <c:pt idx="94">
                  <c:v>#N/A</c:v>
                </c:pt>
                <c:pt idx="95">
                  <c:v>#N/A</c:v>
                </c:pt>
                <c:pt idx="96">
                  <c:v>#N/A</c:v>
                </c:pt>
                <c:pt idx="97">
                  <c:v>#N/A</c:v>
                </c:pt>
                <c:pt idx="98">
                  <c:v>#N/A</c:v>
                </c:pt>
                <c:pt idx="99">
                  <c:v>#N/A</c:v>
                </c:pt>
                <c:pt idx="100">
                  <c:v>44682</c:v>
                </c:pt>
                <c:pt idx="101">
                  <c:v>#N/A</c:v>
                </c:pt>
                <c:pt idx="102">
                  <c:v>#N/A</c:v>
                </c:pt>
                <c:pt idx="103">
                  <c:v>44713</c:v>
                </c:pt>
                <c:pt idx="104">
                  <c:v>44713</c:v>
                </c:pt>
                <c:pt idx="105">
                  <c:v>#N/A</c:v>
                </c:pt>
                <c:pt idx="106">
                  <c:v>#N/A</c:v>
                </c:pt>
                <c:pt idx="107">
                  <c:v>#N/A</c:v>
                </c:pt>
                <c:pt idx="108">
                  <c:v>#N/A</c:v>
                </c:pt>
                <c:pt idx="109">
                  <c:v>#N/A</c:v>
                </c:pt>
                <c:pt idx="110">
                  <c:v>44805</c:v>
                </c:pt>
                <c:pt idx="111">
                  <c:v>#N/A</c:v>
                </c:pt>
                <c:pt idx="112">
                  <c:v>#N/A</c:v>
                </c:pt>
                <c:pt idx="113">
                  <c:v>44805</c:v>
                </c:pt>
                <c:pt idx="114">
                  <c:v>#N/A</c:v>
                </c:pt>
                <c:pt idx="115">
                  <c:v>#N/A</c:v>
                </c:pt>
                <c:pt idx="116">
                  <c:v>#N/A</c:v>
                </c:pt>
                <c:pt idx="117">
                  <c:v>#N/A</c:v>
                </c:pt>
                <c:pt idx="118">
                  <c:v>#N/A</c:v>
                </c:pt>
                <c:pt idx="119">
                  <c:v>#N/A</c:v>
                </c:pt>
                <c:pt idx="120">
                  <c:v>#N/A</c:v>
                </c:pt>
                <c:pt idx="121">
                  <c:v>#N/A</c:v>
                </c:pt>
                <c:pt idx="122">
                  <c:v>44866</c:v>
                </c:pt>
                <c:pt idx="123">
                  <c:v>#N/A</c:v>
                </c:pt>
                <c:pt idx="124">
                  <c:v>#N/A</c:v>
                </c:pt>
                <c:pt idx="125">
                  <c:v>#N/A</c:v>
                </c:pt>
                <c:pt idx="126">
                  <c:v>44927</c:v>
                </c:pt>
                <c:pt idx="127">
                  <c:v>44927</c:v>
                </c:pt>
                <c:pt idx="128">
                  <c:v>#N/A</c:v>
                </c:pt>
                <c:pt idx="129">
                  <c:v>#N/A</c:v>
                </c:pt>
                <c:pt idx="130">
                  <c:v>#N/A</c:v>
                </c:pt>
                <c:pt idx="131">
                  <c:v>#N/A</c:v>
                </c:pt>
                <c:pt idx="132">
                  <c:v>#N/A</c:v>
                </c:pt>
                <c:pt idx="133">
                  <c:v>#N/A</c:v>
                </c:pt>
                <c:pt idx="134">
                  <c:v>#N/A</c:v>
                </c:pt>
                <c:pt idx="135">
                  <c:v>#N/A</c:v>
                </c:pt>
                <c:pt idx="136">
                  <c:v>#N/A</c:v>
                </c:pt>
                <c:pt idx="137">
                  <c:v>#N/A</c:v>
                </c:pt>
                <c:pt idx="138">
                  <c:v>#N/A</c:v>
                </c:pt>
                <c:pt idx="139">
                  <c:v>44986</c:v>
                </c:pt>
                <c:pt idx="140">
                  <c:v>44986</c:v>
                </c:pt>
                <c:pt idx="141">
                  <c:v>44986</c:v>
                </c:pt>
                <c:pt idx="142">
                  <c:v>#N/A</c:v>
                </c:pt>
                <c:pt idx="143">
                  <c:v>#N/A</c:v>
                </c:pt>
                <c:pt idx="144">
                  <c:v>45078</c:v>
                </c:pt>
                <c:pt idx="145">
                  <c:v>#N/A</c:v>
                </c:pt>
              </c:numCache>
            </c:numRef>
          </c:xVal>
          <c:yVal>
            <c:numRef>
              <c:f>Plot_data_time!$Z$2:$Z$147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8</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12</c:v>
                </c:pt>
                <c:pt idx="141">
                  <c:v>#N/A</c:v>
                </c:pt>
                <c:pt idx="142">
                  <c:v>#N/A</c:v>
                </c:pt>
                <c:pt idx="143">
                  <c:v>#N/A</c:v>
                </c:pt>
                <c:pt idx="144">
                  <c:v>#N/A</c:v>
                </c:pt>
                <c:pt idx="145">
                  <c:v>#N/A</c:v>
                </c:pt>
              </c:numCache>
            </c:numRef>
          </c:yVal>
          <c:smooth val="0"/>
          <c:extLst>
            <c:ext xmlns:c16="http://schemas.microsoft.com/office/drawing/2014/chart" uri="{C3380CC4-5D6E-409C-BE32-E72D297353CC}">
              <c16:uniqueId val="{00000011-2C9B-4F81-8564-F87B50377741}"/>
            </c:ext>
          </c:extLst>
        </c:ser>
        <c:ser>
          <c:idx val="15"/>
          <c:order val="15"/>
          <c:tx>
            <c:v>TRX 20-50GHz</c:v>
          </c:tx>
          <c:spPr>
            <a:ln w="25400" cap="rnd">
              <a:noFill/>
              <a:round/>
            </a:ln>
            <a:effectLst/>
          </c:spPr>
          <c:marker>
            <c:symbol val="triangle"/>
            <c:size val="8"/>
            <c:spPr>
              <a:solidFill>
                <a:schemeClr val="accent4">
                  <a:alpha val="75000"/>
                </a:schemeClr>
              </a:solidFill>
              <a:ln w="9525">
                <a:noFill/>
              </a:ln>
              <a:effectLst/>
            </c:spPr>
          </c:marker>
          <c:xVal>
            <c:numRef>
              <c:f>Plot_data_time!$X$2:$X$147</c:f>
              <c:numCache>
                <c:formatCode>m/d/yy</c:formatCode>
                <c:ptCount val="146"/>
                <c:pt idx="0">
                  <c:v>#N/A</c:v>
                </c:pt>
                <c:pt idx="1">
                  <c:v>40575</c:v>
                </c:pt>
                <c:pt idx="2">
                  <c:v>40575</c:v>
                </c:pt>
                <c:pt idx="3">
                  <c:v>#N/A</c:v>
                </c:pt>
                <c:pt idx="4">
                  <c:v>#N/A</c:v>
                </c:pt>
                <c:pt idx="5">
                  <c:v>#N/A</c:v>
                </c:pt>
                <c:pt idx="6">
                  <c:v>#N/A</c:v>
                </c:pt>
                <c:pt idx="7">
                  <c:v>#N/A</c:v>
                </c:pt>
                <c:pt idx="8">
                  <c:v>41334</c:v>
                </c:pt>
                <c:pt idx="9">
                  <c:v>41426</c:v>
                </c:pt>
                <c:pt idx="10">
                  <c:v>41456</c:v>
                </c:pt>
                <c:pt idx="11">
                  <c:v>#N/A</c:v>
                </c:pt>
                <c:pt idx="12">
                  <c:v>#N/A</c:v>
                </c:pt>
                <c:pt idx="13">
                  <c:v>41974</c:v>
                </c:pt>
                <c:pt idx="14">
                  <c:v>42125</c:v>
                </c:pt>
                <c:pt idx="15">
                  <c:v>42125</c:v>
                </c:pt>
                <c:pt idx="16">
                  <c:v>#N/A</c:v>
                </c:pt>
                <c:pt idx="17">
                  <c:v>#N/A</c:v>
                </c:pt>
                <c:pt idx="18">
                  <c:v>#N/A</c:v>
                </c:pt>
                <c:pt idx="19">
                  <c:v>#N/A</c:v>
                </c:pt>
                <c:pt idx="20">
                  <c:v>42767</c:v>
                </c:pt>
                <c:pt idx="21">
                  <c:v>#N/A</c:v>
                </c:pt>
                <c:pt idx="22">
                  <c:v>#N/A</c:v>
                </c:pt>
                <c:pt idx="23">
                  <c:v>#N/A</c:v>
                </c:pt>
                <c:pt idx="24">
                  <c:v>43132</c:v>
                </c:pt>
                <c:pt idx="25">
                  <c:v>43132</c:v>
                </c:pt>
                <c:pt idx="26">
                  <c:v>#N/A</c:v>
                </c:pt>
                <c:pt idx="27">
                  <c:v>#N/A</c:v>
                </c:pt>
                <c:pt idx="28">
                  <c:v>43132</c:v>
                </c:pt>
                <c:pt idx="29">
                  <c:v>43132</c:v>
                </c:pt>
                <c:pt idx="30">
                  <c:v>43132</c:v>
                </c:pt>
                <c:pt idx="31">
                  <c:v>43132</c:v>
                </c:pt>
                <c:pt idx="32">
                  <c:v>#N/A</c:v>
                </c:pt>
                <c:pt idx="33">
                  <c:v>43313</c:v>
                </c:pt>
                <c:pt idx="34">
                  <c:v>#N/A</c:v>
                </c:pt>
                <c:pt idx="35">
                  <c:v>#N/A</c:v>
                </c:pt>
                <c:pt idx="36">
                  <c:v>#N/A</c:v>
                </c:pt>
                <c:pt idx="37">
                  <c:v>43497</c:v>
                </c:pt>
                <c:pt idx="38">
                  <c:v>#N/A</c:v>
                </c:pt>
                <c:pt idx="39">
                  <c:v>#N/A</c:v>
                </c:pt>
                <c:pt idx="40">
                  <c:v>43497</c:v>
                </c:pt>
                <c:pt idx="41">
                  <c:v>43497</c:v>
                </c:pt>
                <c:pt idx="42">
                  <c:v>#N/A</c:v>
                </c:pt>
                <c:pt idx="43">
                  <c:v>#N/A</c:v>
                </c:pt>
                <c:pt idx="44">
                  <c:v>43617</c:v>
                </c:pt>
                <c:pt idx="45">
                  <c:v>43709</c:v>
                </c:pt>
                <c:pt idx="46">
                  <c:v>#N/A</c:v>
                </c:pt>
                <c:pt idx="47">
                  <c:v>#N/A</c:v>
                </c:pt>
                <c:pt idx="48">
                  <c:v>#N/A</c:v>
                </c:pt>
                <c:pt idx="49">
                  <c:v>#N/A</c:v>
                </c:pt>
                <c:pt idx="50">
                  <c:v>#N/A</c:v>
                </c:pt>
                <c:pt idx="51">
                  <c:v>44044</c:v>
                </c:pt>
                <c:pt idx="52">
                  <c:v>44044</c:v>
                </c:pt>
                <c:pt idx="53">
                  <c:v>44044</c:v>
                </c:pt>
                <c:pt idx="54">
                  <c:v>#N/A</c:v>
                </c:pt>
                <c:pt idx="55">
                  <c:v>#N/A</c:v>
                </c:pt>
                <c:pt idx="56">
                  <c:v>#N/A</c:v>
                </c:pt>
                <c:pt idx="57">
                  <c:v>#N/A</c:v>
                </c:pt>
                <c:pt idx="58">
                  <c:v>44075</c:v>
                </c:pt>
                <c:pt idx="59">
                  <c:v>44197</c:v>
                </c:pt>
                <c:pt idx="60">
                  <c:v>44197</c:v>
                </c:pt>
                <c:pt idx="61">
                  <c:v>#N/A</c:v>
                </c:pt>
                <c:pt idx="62">
                  <c:v>#N/A</c:v>
                </c:pt>
                <c:pt idx="63">
                  <c:v>#N/A</c:v>
                </c:pt>
                <c:pt idx="64">
                  <c:v>44228</c:v>
                </c:pt>
                <c:pt idx="65">
                  <c:v>#N/A</c:v>
                </c:pt>
                <c:pt idx="66">
                  <c:v>#N/A</c:v>
                </c:pt>
                <c:pt idx="67">
                  <c:v>44228</c:v>
                </c:pt>
                <c:pt idx="68">
                  <c:v>#N/A</c:v>
                </c:pt>
                <c:pt idx="69">
                  <c:v>#N/A</c:v>
                </c:pt>
                <c:pt idx="70">
                  <c:v>#N/A</c:v>
                </c:pt>
                <c:pt idx="71">
                  <c:v>#N/A</c:v>
                </c:pt>
                <c:pt idx="72">
                  <c:v>44348</c:v>
                </c:pt>
                <c:pt idx="73">
                  <c:v>44348</c:v>
                </c:pt>
                <c:pt idx="74">
                  <c:v>#N/A</c:v>
                </c:pt>
                <c:pt idx="75">
                  <c:v>#N/A</c:v>
                </c:pt>
                <c:pt idx="76">
                  <c:v>#N/A</c:v>
                </c:pt>
                <c:pt idx="77">
                  <c:v>#N/A</c:v>
                </c:pt>
                <c:pt idx="78">
                  <c:v>#N/A</c:v>
                </c:pt>
                <c:pt idx="79">
                  <c:v>#N/A</c:v>
                </c:pt>
                <c:pt idx="80">
                  <c:v>#N/A</c:v>
                </c:pt>
                <c:pt idx="81">
                  <c:v>#N/A</c:v>
                </c:pt>
                <c:pt idx="82">
                  <c:v>#N/A</c:v>
                </c:pt>
                <c:pt idx="83">
                  <c:v>44562</c:v>
                </c:pt>
                <c:pt idx="84">
                  <c:v>#N/A</c:v>
                </c:pt>
                <c:pt idx="85">
                  <c:v>#N/A</c:v>
                </c:pt>
                <c:pt idx="86">
                  <c:v>#N/A</c:v>
                </c:pt>
                <c:pt idx="87">
                  <c:v>#N/A</c:v>
                </c:pt>
                <c:pt idx="88">
                  <c:v>44593</c:v>
                </c:pt>
                <c:pt idx="89">
                  <c:v>44593</c:v>
                </c:pt>
                <c:pt idx="90">
                  <c:v>44593</c:v>
                </c:pt>
                <c:pt idx="91">
                  <c:v>#N/A</c:v>
                </c:pt>
                <c:pt idx="92">
                  <c:v>#N/A</c:v>
                </c:pt>
                <c:pt idx="93">
                  <c:v>#N/A</c:v>
                </c:pt>
                <c:pt idx="94">
                  <c:v>#N/A</c:v>
                </c:pt>
                <c:pt idx="95">
                  <c:v>#N/A</c:v>
                </c:pt>
                <c:pt idx="96">
                  <c:v>#N/A</c:v>
                </c:pt>
                <c:pt idx="97">
                  <c:v>#N/A</c:v>
                </c:pt>
                <c:pt idx="98">
                  <c:v>#N/A</c:v>
                </c:pt>
                <c:pt idx="99">
                  <c:v>#N/A</c:v>
                </c:pt>
                <c:pt idx="100">
                  <c:v>44682</c:v>
                </c:pt>
                <c:pt idx="101">
                  <c:v>#N/A</c:v>
                </c:pt>
                <c:pt idx="102">
                  <c:v>#N/A</c:v>
                </c:pt>
                <c:pt idx="103">
                  <c:v>44713</c:v>
                </c:pt>
                <c:pt idx="104">
                  <c:v>44713</c:v>
                </c:pt>
                <c:pt idx="105">
                  <c:v>#N/A</c:v>
                </c:pt>
                <c:pt idx="106">
                  <c:v>#N/A</c:v>
                </c:pt>
                <c:pt idx="107">
                  <c:v>#N/A</c:v>
                </c:pt>
                <c:pt idx="108">
                  <c:v>#N/A</c:v>
                </c:pt>
                <c:pt idx="109">
                  <c:v>#N/A</c:v>
                </c:pt>
                <c:pt idx="110">
                  <c:v>44805</c:v>
                </c:pt>
                <c:pt idx="111">
                  <c:v>#N/A</c:v>
                </c:pt>
                <c:pt idx="112">
                  <c:v>#N/A</c:v>
                </c:pt>
                <c:pt idx="113">
                  <c:v>44805</c:v>
                </c:pt>
                <c:pt idx="114">
                  <c:v>#N/A</c:v>
                </c:pt>
                <c:pt idx="115">
                  <c:v>#N/A</c:v>
                </c:pt>
                <c:pt idx="116">
                  <c:v>#N/A</c:v>
                </c:pt>
                <c:pt idx="117">
                  <c:v>#N/A</c:v>
                </c:pt>
                <c:pt idx="118">
                  <c:v>#N/A</c:v>
                </c:pt>
                <c:pt idx="119">
                  <c:v>#N/A</c:v>
                </c:pt>
                <c:pt idx="120">
                  <c:v>#N/A</c:v>
                </c:pt>
                <c:pt idx="121">
                  <c:v>#N/A</c:v>
                </c:pt>
                <c:pt idx="122">
                  <c:v>44866</c:v>
                </c:pt>
                <c:pt idx="123">
                  <c:v>#N/A</c:v>
                </c:pt>
                <c:pt idx="124">
                  <c:v>#N/A</c:v>
                </c:pt>
                <c:pt idx="125">
                  <c:v>#N/A</c:v>
                </c:pt>
                <c:pt idx="126">
                  <c:v>44927</c:v>
                </c:pt>
                <c:pt idx="127">
                  <c:v>44927</c:v>
                </c:pt>
                <c:pt idx="128">
                  <c:v>#N/A</c:v>
                </c:pt>
                <c:pt idx="129">
                  <c:v>#N/A</c:v>
                </c:pt>
                <c:pt idx="130">
                  <c:v>#N/A</c:v>
                </c:pt>
                <c:pt idx="131">
                  <c:v>#N/A</c:v>
                </c:pt>
                <c:pt idx="132">
                  <c:v>#N/A</c:v>
                </c:pt>
                <c:pt idx="133">
                  <c:v>#N/A</c:v>
                </c:pt>
                <c:pt idx="134">
                  <c:v>#N/A</c:v>
                </c:pt>
                <c:pt idx="135">
                  <c:v>#N/A</c:v>
                </c:pt>
                <c:pt idx="136">
                  <c:v>#N/A</c:v>
                </c:pt>
                <c:pt idx="137">
                  <c:v>#N/A</c:v>
                </c:pt>
                <c:pt idx="138">
                  <c:v>#N/A</c:v>
                </c:pt>
                <c:pt idx="139">
                  <c:v>44986</c:v>
                </c:pt>
                <c:pt idx="140">
                  <c:v>44986</c:v>
                </c:pt>
                <c:pt idx="141">
                  <c:v>44986</c:v>
                </c:pt>
                <c:pt idx="142">
                  <c:v>#N/A</c:v>
                </c:pt>
                <c:pt idx="143">
                  <c:v>#N/A</c:v>
                </c:pt>
                <c:pt idx="144">
                  <c:v>45078</c:v>
                </c:pt>
                <c:pt idx="145">
                  <c:v>#N/A</c:v>
                </c:pt>
              </c:numCache>
            </c:numRef>
          </c:xVal>
          <c:yVal>
            <c:numRef>
              <c:f>Plot_data_time!$AA$2:$AA$147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128</c:v>
                </c:pt>
                <c:pt idx="21">
                  <c:v>#N/A</c:v>
                </c:pt>
                <c:pt idx="22">
                  <c:v>#N/A</c:v>
                </c:pt>
                <c:pt idx="23">
                  <c:v>#N/A</c:v>
                </c:pt>
                <c:pt idx="24">
                  <c:v>#N/A</c:v>
                </c:pt>
                <c:pt idx="25">
                  <c:v>#N/A</c:v>
                </c:pt>
                <c:pt idx="26">
                  <c:v>#N/A</c:v>
                </c:pt>
                <c:pt idx="27">
                  <c:v>#N/A</c:v>
                </c:pt>
                <c:pt idx="28">
                  <c:v>48</c:v>
                </c:pt>
                <c:pt idx="29">
                  <c:v>#N/A</c:v>
                </c:pt>
                <c:pt idx="30">
                  <c:v>#N/A</c:v>
                </c:pt>
                <c:pt idx="31">
                  <c:v>#N/A</c:v>
                </c:pt>
                <c:pt idx="32">
                  <c:v>#N/A</c:v>
                </c:pt>
                <c:pt idx="33">
                  <c:v>128</c:v>
                </c:pt>
                <c:pt idx="34">
                  <c:v>#N/A</c:v>
                </c:pt>
                <c:pt idx="35">
                  <c:v>#N/A</c:v>
                </c:pt>
                <c:pt idx="36">
                  <c:v>#N/A</c:v>
                </c:pt>
                <c:pt idx="37">
                  <c:v>#N/A</c:v>
                </c:pt>
                <c:pt idx="38">
                  <c:v>#N/A</c:v>
                </c:pt>
                <c:pt idx="39">
                  <c:v>#N/A</c:v>
                </c:pt>
                <c:pt idx="40">
                  <c:v>#N/A</c:v>
                </c:pt>
                <c:pt idx="41">
                  <c:v>#N/A</c:v>
                </c:pt>
                <c:pt idx="42">
                  <c:v>#N/A</c:v>
                </c:pt>
                <c:pt idx="43">
                  <c:v>#N/A</c:v>
                </c:pt>
                <c:pt idx="44">
                  <c:v>128</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128</c:v>
                </c:pt>
                <c:pt idx="59">
                  <c:v>128</c:v>
                </c:pt>
                <c:pt idx="60">
                  <c:v>128</c:v>
                </c:pt>
                <c:pt idx="61">
                  <c:v>#N/A</c:v>
                </c:pt>
                <c:pt idx="62">
                  <c:v>#N/A</c:v>
                </c:pt>
                <c:pt idx="63">
                  <c:v>#N/A</c:v>
                </c:pt>
                <c:pt idx="64">
                  <c:v>#N/A</c:v>
                </c:pt>
                <c:pt idx="65">
                  <c:v>#N/A</c:v>
                </c:pt>
                <c:pt idx="66">
                  <c:v>#N/A</c:v>
                </c:pt>
                <c:pt idx="67">
                  <c:v>#N/A</c:v>
                </c:pt>
                <c:pt idx="68">
                  <c:v>#N/A</c:v>
                </c:pt>
                <c:pt idx="69">
                  <c:v>#N/A</c:v>
                </c:pt>
                <c:pt idx="70">
                  <c:v>#N/A</c:v>
                </c:pt>
                <c:pt idx="71">
                  <c:v>#N/A</c:v>
                </c:pt>
                <c:pt idx="72">
                  <c:v>#N/A</c:v>
                </c:pt>
                <c:pt idx="73">
                  <c:v>8</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32</c:v>
                </c:pt>
                <c:pt idx="90">
                  <c:v>32</c:v>
                </c:pt>
                <c:pt idx="91">
                  <c:v>#N/A</c:v>
                </c:pt>
                <c:pt idx="92">
                  <c:v>#N/A</c:v>
                </c:pt>
                <c:pt idx="93">
                  <c:v>#N/A</c:v>
                </c:pt>
                <c:pt idx="94">
                  <c:v>#N/A</c:v>
                </c:pt>
                <c:pt idx="95">
                  <c:v>#N/A</c:v>
                </c:pt>
                <c:pt idx="96">
                  <c:v>#N/A</c:v>
                </c:pt>
                <c:pt idx="97">
                  <c:v>#N/A</c:v>
                </c:pt>
                <c:pt idx="98">
                  <c:v>#N/A</c:v>
                </c:pt>
                <c:pt idx="99">
                  <c:v>#N/A</c:v>
                </c:pt>
                <c:pt idx="100">
                  <c:v>8</c:v>
                </c:pt>
                <c:pt idx="101">
                  <c:v>#N/A</c:v>
                </c:pt>
                <c:pt idx="102">
                  <c:v>#N/A</c:v>
                </c:pt>
                <c:pt idx="103">
                  <c:v>0</c:v>
                </c:pt>
                <c:pt idx="104">
                  <c:v>0</c:v>
                </c:pt>
                <c:pt idx="105">
                  <c:v>#N/A</c:v>
                </c:pt>
                <c:pt idx="106">
                  <c:v>#N/A</c:v>
                </c:pt>
                <c:pt idx="107">
                  <c:v>#N/A</c:v>
                </c:pt>
                <c:pt idx="108">
                  <c:v>#N/A</c:v>
                </c:pt>
                <c:pt idx="109">
                  <c:v>#N/A</c:v>
                </c:pt>
                <c:pt idx="110">
                  <c:v>512</c:v>
                </c:pt>
                <c:pt idx="111">
                  <c:v>#N/A</c:v>
                </c:pt>
                <c:pt idx="112">
                  <c:v>#N/A</c:v>
                </c:pt>
                <c:pt idx="113">
                  <c:v>8</c:v>
                </c:pt>
                <c:pt idx="114">
                  <c:v>#N/A</c:v>
                </c:pt>
                <c:pt idx="115">
                  <c:v>#N/A</c:v>
                </c:pt>
                <c:pt idx="116">
                  <c:v>#N/A</c:v>
                </c:pt>
                <c:pt idx="117">
                  <c:v>#N/A</c:v>
                </c:pt>
                <c:pt idx="118">
                  <c:v>#N/A</c:v>
                </c:pt>
                <c:pt idx="119">
                  <c:v>#N/A</c:v>
                </c:pt>
                <c:pt idx="120">
                  <c:v>#N/A</c:v>
                </c:pt>
                <c:pt idx="121">
                  <c:v>#N/A</c:v>
                </c:pt>
                <c:pt idx="122">
                  <c:v>128</c:v>
                </c:pt>
                <c:pt idx="123">
                  <c:v>#N/A</c:v>
                </c:pt>
                <c:pt idx="124">
                  <c:v>#N/A</c:v>
                </c:pt>
                <c:pt idx="125">
                  <c:v>#N/A</c:v>
                </c:pt>
                <c:pt idx="126">
                  <c:v>128</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8</c:v>
                </c:pt>
                <c:pt idx="140">
                  <c:v>#N/A</c:v>
                </c:pt>
                <c:pt idx="141">
                  <c:v>32</c:v>
                </c:pt>
                <c:pt idx="142">
                  <c:v>#N/A</c:v>
                </c:pt>
                <c:pt idx="143">
                  <c:v>#N/A</c:v>
                </c:pt>
                <c:pt idx="144">
                  <c:v>#N/A</c:v>
                </c:pt>
                <c:pt idx="145">
                  <c:v>#N/A</c:v>
                </c:pt>
              </c:numCache>
            </c:numRef>
          </c:yVal>
          <c:smooth val="0"/>
          <c:extLst>
            <c:ext xmlns:c16="http://schemas.microsoft.com/office/drawing/2014/chart" uri="{C3380CC4-5D6E-409C-BE32-E72D297353CC}">
              <c16:uniqueId val="{00000012-2C9B-4F81-8564-F87B50377741}"/>
            </c:ext>
          </c:extLst>
        </c:ser>
        <c:ser>
          <c:idx val="16"/>
          <c:order val="16"/>
          <c:tx>
            <c:v>TRX_50-75GHz</c:v>
          </c:tx>
          <c:spPr>
            <a:ln w="25400" cap="rnd">
              <a:noFill/>
              <a:round/>
            </a:ln>
            <a:effectLst/>
          </c:spPr>
          <c:marker>
            <c:symbol val="triangle"/>
            <c:size val="8"/>
            <c:spPr>
              <a:solidFill>
                <a:srgbClr val="00B050">
                  <a:alpha val="75000"/>
                </a:srgbClr>
              </a:solidFill>
              <a:ln w="9525">
                <a:noFill/>
              </a:ln>
              <a:effectLst/>
            </c:spPr>
          </c:marker>
          <c:xVal>
            <c:numRef>
              <c:f>Plot_data_time!$X$2:$X$147</c:f>
              <c:numCache>
                <c:formatCode>m/d/yy</c:formatCode>
                <c:ptCount val="146"/>
                <c:pt idx="0">
                  <c:v>#N/A</c:v>
                </c:pt>
                <c:pt idx="1">
                  <c:v>40575</c:v>
                </c:pt>
                <c:pt idx="2">
                  <c:v>40575</c:v>
                </c:pt>
                <c:pt idx="3">
                  <c:v>#N/A</c:v>
                </c:pt>
                <c:pt idx="4">
                  <c:v>#N/A</c:v>
                </c:pt>
                <c:pt idx="5">
                  <c:v>#N/A</c:v>
                </c:pt>
                <c:pt idx="6">
                  <c:v>#N/A</c:v>
                </c:pt>
                <c:pt idx="7">
                  <c:v>#N/A</c:v>
                </c:pt>
                <c:pt idx="8">
                  <c:v>41334</c:v>
                </c:pt>
                <c:pt idx="9">
                  <c:v>41426</c:v>
                </c:pt>
                <c:pt idx="10">
                  <c:v>41456</c:v>
                </c:pt>
                <c:pt idx="11">
                  <c:v>#N/A</c:v>
                </c:pt>
                <c:pt idx="12">
                  <c:v>#N/A</c:v>
                </c:pt>
                <c:pt idx="13">
                  <c:v>41974</c:v>
                </c:pt>
                <c:pt idx="14">
                  <c:v>42125</c:v>
                </c:pt>
                <c:pt idx="15">
                  <c:v>42125</c:v>
                </c:pt>
                <c:pt idx="16">
                  <c:v>#N/A</c:v>
                </c:pt>
                <c:pt idx="17">
                  <c:v>#N/A</c:v>
                </c:pt>
                <c:pt idx="18">
                  <c:v>#N/A</c:v>
                </c:pt>
                <c:pt idx="19">
                  <c:v>#N/A</c:v>
                </c:pt>
                <c:pt idx="20">
                  <c:v>42767</c:v>
                </c:pt>
                <c:pt idx="21">
                  <c:v>#N/A</c:v>
                </c:pt>
                <c:pt idx="22">
                  <c:v>#N/A</c:v>
                </c:pt>
                <c:pt idx="23">
                  <c:v>#N/A</c:v>
                </c:pt>
                <c:pt idx="24">
                  <c:v>43132</c:v>
                </c:pt>
                <c:pt idx="25">
                  <c:v>43132</c:v>
                </c:pt>
                <c:pt idx="26">
                  <c:v>#N/A</c:v>
                </c:pt>
                <c:pt idx="27">
                  <c:v>#N/A</c:v>
                </c:pt>
                <c:pt idx="28">
                  <c:v>43132</c:v>
                </c:pt>
                <c:pt idx="29">
                  <c:v>43132</c:v>
                </c:pt>
                <c:pt idx="30">
                  <c:v>43132</c:v>
                </c:pt>
                <c:pt idx="31">
                  <c:v>43132</c:v>
                </c:pt>
                <c:pt idx="32">
                  <c:v>#N/A</c:v>
                </c:pt>
                <c:pt idx="33">
                  <c:v>43313</c:v>
                </c:pt>
                <c:pt idx="34">
                  <c:v>#N/A</c:v>
                </c:pt>
                <c:pt idx="35">
                  <c:v>#N/A</c:v>
                </c:pt>
                <c:pt idx="36">
                  <c:v>#N/A</c:v>
                </c:pt>
                <c:pt idx="37">
                  <c:v>43497</c:v>
                </c:pt>
                <c:pt idx="38">
                  <c:v>#N/A</c:v>
                </c:pt>
                <c:pt idx="39">
                  <c:v>#N/A</c:v>
                </c:pt>
                <c:pt idx="40">
                  <c:v>43497</c:v>
                </c:pt>
                <c:pt idx="41">
                  <c:v>43497</c:v>
                </c:pt>
                <c:pt idx="42">
                  <c:v>#N/A</c:v>
                </c:pt>
                <c:pt idx="43">
                  <c:v>#N/A</c:v>
                </c:pt>
                <c:pt idx="44">
                  <c:v>43617</c:v>
                </c:pt>
                <c:pt idx="45">
                  <c:v>43709</c:v>
                </c:pt>
                <c:pt idx="46">
                  <c:v>#N/A</c:v>
                </c:pt>
                <c:pt idx="47">
                  <c:v>#N/A</c:v>
                </c:pt>
                <c:pt idx="48">
                  <c:v>#N/A</c:v>
                </c:pt>
                <c:pt idx="49">
                  <c:v>#N/A</c:v>
                </c:pt>
                <c:pt idx="50">
                  <c:v>#N/A</c:v>
                </c:pt>
                <c:pt idx="51">
                  <c:v>44044</c:v>
                </c:pt>
                <c:pt idx="52">
                  <c:v>44044</c:v>
                </c:pt>
                <c:pt idx="53">
                  <c:v>44044</c:v>
                </c:pt>
                <c:pt idx="54">
                  <c:v>#N/A</c:v>
                </c:pt>
                <c:pt idx="55">
                  <c:v>#N/A</c:v>
                </c:pt>
                <c:pt idx="56">
                  <c:v>#N/A</c:v>
                </c:pt>
                <c:pt idx="57">
                  <c:v>#N/A</c:v>
                </c:pt>
                <c:pt idx="58">
                  <c:v>44075</c:v>
                </c:pt>
                <c:pt idx="59">
                  <c:v>44197</c:v>
                </c:pt>
                <c:pt idx="60">
                  <c:v>44197</c:v>
                </c:pt>
                <c:pt idx="61">
                  <c:v>#N/A</c:v>
                </c:pt>
                <c:pt idx="62">
                  <c:v>#N/A</c:v>
                </c:pt>
                <c:pt idx="63">
                  <c:v>#N/A</c:v>
                </c:pt>
                <c:pt idx="64">
                  <c:v>44228</c:v>
                </c:pt>
                <c:pt idx="65">
                  <c:v>#N/A</c:v>
                </c:pt>
                <c:pt idx="66">
                  <c:v>#N/A</c:v>
                </c:pt>
                <c:pt idx="67">
                  <c:v>44228</c:v>
                </c:pt>
                <c:pt idx="68">
                  <c:v>#N/A</c:v>
                </c:pt>
                <c:pt idx="69">
                  <c:v>#N/A</c:v>
                </c:pt>
                <c:pt idx="70">
                  <c:v>#N/A</c:v>
                </c:pt>
                <c:pt idx="71">
                  <c:v>#N/A</c:v>
                </c:pt>
                <c:pt idx="72">
                  <c:v>44348</c:v>
                </c:pt>
                <c:pt idx="73">
                  <c:v>44348</c:v>
                </c:pt>
                <c:pt idx="74">
                  <c:v>#N/A</c:v>
                </c:pt>
                <c:pt idx="75">
                  <c:v>#N/A</c:v>
                </c:pt>
                <c:pt idx="76">
                  <c:v>#N/A</c:v>
                </c:pt>
                <c:pt idx="77">
                  <c:v>#N/A</c:v>
                </c:pt>
                <c:pt idx="78">
                  <c:v>#N/A</c:v>
                </c:pt>
                <c:pt idx="79">
                  <c:v>#N/A</c:v>
                </c:pt>
                <c:pt idx="80">
                  <c:v>#N/A</c:v>
                </c:pt>
                <c:pt idx="81">
                  <c:v>#N/A</c:v>
                </c:pt>
                <c:pt idx="82">
                  <c:v>#N/A</c:v>
                </c:pt>
                <c:pt idx="83">
                  <c:v>44562</c:v>
                </c:pt>
                <c:pt idx="84">
                  <c:v>#N/A</c:v>
                </c:pt>
                <c:pt idx="85">
                  <c:v>#N/A</c:v>
                </c:pt>
                <c:pt idx="86">
                  <c:v>#N/A</c:v>
                </c:pt>
                <c:pt idx="87">
                  <c:v>#N/A</c:v>
                </c:pt>
                <c:pt idx="88">
                  <c:v>44593</c:v>
                </c:pt>
                <c:pt idx="89">
                  <c:v>44593</c:v>
                </c:pt>
                <c:pt idx="90">
                  <c:v>44593</c:v>
                </c:pt>
                <c:pt idx="91">
                  <c:v>#N/A</c:v>
                </c:pt>
                <c:pt idx="92">
                  <c:v>#N/A</c:v>
                </c:pt>
                <c:pt idx="93">
                  <c:v>#N/A</c:v>
                </c:pt>
                <c:pt idx="94">
                  <c:v>#N/A</c:v>
                </c:pt>
                <c:pt idx="95">
                  <c:v>#N/A</c:v>
                </c:pt>
                <c:pt idx="96">
                  <c:v>#N/A</c:v>
                </c:pt>
                <c:pt idx="97">
                  <c:v>#N/A</c:v>
                </c:pt>
                <c:pt idx="98">
                  <c:v>#N/A</c:v>
                </c:pt>
                <c:pt idx="99">
                  <c:v>#N/A</c:v>
                </c:pt>
                <c:pt idx="100">
                  <c:v>44682</c:v>
                </c:pt>
                <c:pt idx="101">
                  <c:v>#N/A</c:v>
                </c:pt>
                <c:pt idx="102">
                  <c:v>#N/A</c:v>
                </c:pt>
                <c:pt idx="103">
                  <c:v>44713</c:v>
                </c:pt>
                <c:pt idx="104">
                  <c:v>44713</c:v>
                </c:pt>
                <c:pt idx="105">
                  <c:v>#N/A</c:v>
                </c:pt>
                <c:pt idx="106">
                  <c:v>#N/A</c:v>
                </c:pt>
                <c:pt idx="107">
                  <c:v>#N/A</c:v>
                </c:pt>
                <c:pt idx="108">
                  <c:v>#N/A</c:v>
                </c:pt>
                <c:pt idx="109">
                  <c:v>#N/A</c:v>
                </c:pt>
                <c:pt idx="110">
                  <c:v>44805</c:v>
                </c:pt>
                <c:pt idx="111">
                  <c:v>#N/A</c:v>
                </c:pt>
                <c:pt idx="112">
                  <c:v>#N/A</c:v>
                </c:pt>
                <c:pt idx="113">
                  <c:v>44805</c:v>
                </c:pt>
                <c:pt idx="114">
                  <c:v>#N/A</c:v>
                </c:pt>
                <c:pt idx="115">
                  <c:v>#N/A</c:v>
                </c:pt>
                <c:pt idx="116">
                  <c:v>#N/A</c:v>
                </c:pt>
                <c:pt idx="117">
                  <c:v>#N/A</c:v>
                </c:pt>
                <c:pt idx="118">
                  <c:v>#N/A</c:v>
                </c:pt>
                <c:pt idx="119">
                  <c:v>#N/A</c:v>
                </c:pt>
                <c:pt idx="120">
                  <c:v>#N/A</c:v>
                </c:pt>
                <c:pt idx="121">
                  <c:v>#N/A</c:v>
                </c:pt>
                <c:pt idx="122">
                  <c:v>44866</c:v>
                </c:pt>
                <c:pt idx="123">
                  <c:v>#N/A</c:v>
                </c:pt>
                <c:pt idx="124">
                  <c:v>#N/A</c:v>
                </c:pt>
                <c:pt idx="125">
                  <c:v>#N/A</c:v>
                </c:pt>
                <c:pt idx="126">
                  <c:v>44927</c:v>
                </c:pt>
                <c:pt idx="127">
                  <c:v>44927</c:v>
                </c:pt>
                <c:pt idx="128">
                  <c:v>#N/A</c:v>
                </c:pt>
                <c:pt idx="129">
                  <c:v>#N/A</c:v>
                </c:pt>
                <c:pt idx="130">
                  <c:v>#N/A</c:v>
                </c:pt>
                <c:pt idx="131">
                  <c:v>#N/A</c:v>
                </c:pt>
                <c:pt idx="132">
                  <c:v>#N/A</c:v>
                </c:pt>
                <c:pt idx="133">
                  <c:v>#N/A</c:v>
                </c:pt>
                <c:pt idx="134">
                  <c:v>#N/A</c:v>
                </c:pt>
                <c:pt idx="135">
                  <c:v>#N/A</c:v>
                </c:pt>
                <c:pt idx="136">
                  <c:v>#N/A</c:v>
                </c:pt>
                <c:pt idx="137">
                  <c:v>#N/A</c:v>
                </c:pt>
                <c:pt idx="138">
                  <c:v>#N/A</c:v>
                </c:pt>
                <c:pt idx="139">
                  <c:v>44986</c:v>
                </c:pt>
                <c:pt idx="140">
                  <c:v>44986</c:v>
                </c:pt>
                <c:pt idx="141">
                  <c:v>44986</c:v>
                </c:pt>
                <c:pt idx="142">
                  <c:v>#N/A</c:v>
                </c:pt>
                <c:pt idx="143">
                  <c:v>#N/A</c:v>
                </c:pt>
                <c:pt idx="144">
                  <c:v>45078</c:v>
                </c:pt>
                <c:pt idx="145">
                  <c:v>#N/A</c:v>
                </c:pt>
              </c:numCache>
            </c:numRef>
          </c:xVal>
          <c:yVal>
            <c:numRef>
              <c:f>Plot_data_time!$AB$2:$AB$147</c:f>
              <c:numCache>
                <c:formatCode>General</c:formatCode>
                <c:ptCount val="146"/>
                <c:pt idx="0">
                  <c:v>#N/A</c:v>
                </c:pt>
                <c:pt idx="1">
                  <c:v>36</c:v>
                </c:pt>
                <c:pt idx="2">
                  <c:v>40</c:v>
                </c:pt>
                <c:pt idx="3">
                  <c:v>#N/A</c:v>
                </c:pt>
                <c:pt idx="4">
                  <c:v>#N/A</c:v>
                </c:pt>
                <c:pt idx="5">
                  <c:v>#N/A</c:v>
                </c:pt>
                <c:pt idx="6">
                  <c:v>#N/A</c:v>
                </c:pt>
                <c:pt idx="7">
                  <c:v>#N/A</c:v>
                </c:pt>
                <c:pt idx="8">
                  <c:v>64</c:v>
                </c:pt>
                <c:pt idx="9">
                  <c:v>#N/A</c:v>
                </c:pt>
                <c:pt idx="10">
                  <c:v>#N/A</c:v>
                </c:pt>
                <c:pt idx="11">
                  <c:v>#N/A</c:v>
                </c:pt>
                <c:pt idx="12">
                  <c:v>#N/A</c:v>
                </c:pt>
                <c:pt idx="13">
                  <c:v>32</c:v>
                </c:pt>
                <c:pt idx="14">
                  <c:v>20</c:v>
                </c:pt>
                <c:pt idx="15">
                  <c:v>#N/A</c:v>
                </c:pt>
                <c:pt idx="16">
                  <c:v>#N/A</c:v>
                </c:pt>
                <c:pt idx="17">
                  <c:v>#N/A</c:v>
                </c:pt>
                <c:pt idx="18">
                  <c:v>#N/A</c:v>
                </c:pt>
                <c:pt idx="19">
                  <c:v>#N/A</c:v>
                </c:pt>
                <c:pt idx="20">
                  <c:v>#N/A</c:v>
                </c:pt>
                <c:pt idx="21">
                  <c:v>#N/A</c:v>
                </c:pt>
                <c:pt idx="22">
                  <c:v>#N/A</c:v>
                </c:pt>
                <c:pt idx="23">
                  <c:v>#N/A</c:v>
                </c:pt>
                <c:pt idx="24">
                  <c:v>2</c:v>
                </c:pt>
                <c:pt idx="25">
                  <c:v>#N/A</c:v>
                </c:pt>
                <c:pt idx="26">
                  <c:v>#N/A</c:v>
                </c:pt>
                <c:pt idx="27">
                  <c:v>#N/A</c:v>
                </c:pt>
                <c:pt idx="28">
                  <c:v>#N/A</c:v>
                </c:pt>
                <c:pt idx="29">
                  <c:v>288</c:v>
                </c:pt>
                <c:pt idx="30">
                  <c:v>#N/A</c:v>
                </c:pt>
                <c:pt idx="31">
                  <c:v>#N/A</c:v>
                </c:pt>
                <c:pt idx="32">
                  <c:v>#N/A</c:v>
                </c:pt>
                <c:pt idx="33">
                  <c:v>#N/A</c:v>
                </c:pt>
                <c:pt idx="34">
                  <c:v>#N/A</c:v>
                </c:pt>
                <c:pt idx="35">
                  <c:v>#N/A</c:v>
                </c:pt>
                <c:pt idx="36">
                  <c:v>#N/A</c:v>
                </c:pt>
                <c:pt idx="37">
                  <c:v>#N/A</c:v>
                </c:pt>
                <c:pt idx="38">
                  <c:v>#N/A</c:v>
                </c:pt>
                <c:pt idx="39">
                  <c:v>#N/A</c:v>
                </c:pt>
                <c:pt idx="40">
                  <c:v>128</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13-2C9B-4F81-8564-F87B50377741}"/>
            </c:ext>
          </c:extLst>
        </c:ser>
        <c:ser>
          <c:idx val="17"/>
          <c:order val="17"/>
          <c:tx>
            <c:v>TRX_75-110GHz</c:v>
          </c:tx>
          <c:spPr>
            <a:ln w="25400" cap="rnd">
              <a:noFill/>
              <a:round/>
            </a:ln>
            <a:effectLst/>
          </c:spPr>
          <c:marker>
            <c:symbol val="triangle"/>
            <c:size val="8"/>
            <c:spPr>
              <a:solidFill>
                <a:srgbClr val="00B0F0">
                  <a:alpha val="75000"/>
                </a:srgbClr>
              </a:solidFill>
              <a:ln w="9525">
                <a:noFill/>
              </a:ln>
              <a:effectLst/>
            </c:spPr>
          </c:marker>
          <c:xVal>
            <c:numRef>
              <c:f>Plot_data_time!$X$2:$X$147</c:f>
              <c:numCache>
                <c:formatCode>m/d/yy</c:formatCode>
                <c:ptCount val="146"/>
                <c:pt idx="0">
                  <c:v>#N/A</c:v>
                </c:pt>
                <c:pt idx="1">
                  <c:v>40575</c:v>
                </c:pt>
                <c:pt idx="2">
                  <c:v>40575</c:v>
                </c:pt>
                <c:pt idx="3">
                  <c:v>#N/A</c:v>
                </c:pt>
                <c:pt idx="4">
                  <c:v>#N/A</c:v>
                </c:pt>
                <c:pt idx="5">
                  <c:v>#N/A</c:v>
                </c:pt>
                <c:pt idx="6">
                  <c:v>#N/A</c:v>
                </c:pt>
                <c:pt idx="7">
                  <c:v>#N/A</c:v>
                </c:pt>
                <c:pt idx="8">
                  <c:v>41334</c:v>
                </c:pt>
                <c:pt idx="9">
                  <c:v>41426</c:v>
                </c:pt>
                <c:pt idx="10">
                  <c:v>41456</c:v>
                </c:pt>
                <c:pt idx="11">
                  <c:v>#N/A</c:v>
                </c:pt>
                <c:pt idx="12">
                  <c:v>#N/A</c:v>
                </c:pt>
                <c:pt idx="13">
                  <c:v>41974</c:v>
                </c:pt>
                <c:pt idx="14">
                  <c:v>42125</c:v>
                </c:pt>
                <c:pt idx="15">
                  <c:v>42125</c:v>
                </c:pt>
                <c:pt idx="16">
                  <c:v>#N/A</c:v>
                </c:pt>
                <c:pt idx="17">
                  <c:v>#N/A</c:v>
                </c:pt>
                <c:pt idx="18">
                  <c:v>#N/A</c:v>
                </c:pt>
                <c:pt idx="19">
                  <c:v>#N/A</c:v>
                </c:pt>
                <c:pt idx="20">
                  <c:v>42767</c:v>
                </c:pt>
                <c:pt idx="21">
                  <c:v>#N/A</c:v>
                </c:pt>
                <c:pt idx="22">
                  <c:v>#N/A</c:v>
                </c:pt>
                <c:pt idx="23">
                  <c:v>#N/A</c:v>
                </c:pt>
                <c:pt idx="24">
                  <c:v>43132</c:v>
                </c:pt>
                <c:pt idx="25">
                  <c:v>43132</c:v>
                </c:pt>
                <c:pt idx="26">
                  <c:v>#N/A</c:v>
                </c:pt>
                <c:pt idx="27">
                  <c:v>#N/A</c:v>
                </c:pt>
                <c:pt idx="28">
                  <c:v>43132</c:v>
                </c:pt>
                <c:pt idx="29">
                  <c:v>43132</c:v>
                </c:pt>
                <c:pt idx="30">
                  <c:v>43132</c:v>
                </c:pt>
                <c:pt idx="31">
                  <c:v>43132</c:v>
                </c:pt>
                <c:pt idx="32">
                  <c:v>#N/A</c:v>
                </c:pt>
                <c:pt idx="33">
                  <c:v>43313</c:v>
                </c:pt>
                <c:pt idx="34">
                  <c:v>#N/A</c:v>
                </c:pt>
                <c:pt idx="35">
                  <c:v>#N/A</c:v>
                </c:pt>
                <c:pt idx="36">
                  <c:v>#N/A</c:v>
                </c:pt>
                <c:pt idx="37">
                  <c:v>43497</c:v>
                </c:pt>
                <c:pt idx="38">
                  <c:v>#N/A</c:v>
                </c:pt>
                <c:pt idx="39">
                  <c:v>#N/A</c:v>
                </c:pt>
                <c:pt idx="40">
                  <c:v>43497</c:v>
                </c:pt>
                <c:pt idx="41">
                  <c:v>43497</c:v>
                </c:pt>
                <c:pt idx="42">
                  <c:v>#N/A</c:v>
                </c:pt>
                <c:pt idx="43">
                  <c:v>#N/A</c:v>
                </c:pt>
                <c:pt idx="44">
                  <c:v>43617</c:v>
                </c:pt>
                <c:pt idx="45">
                  <c:v>43709</c:v>
                </c:pt>
                <c:pt idx="46">
                  <c:v>#N/A</c:v>
                </c:pt>
                <c:pt idx="47">
                  <c:v>#N/A</c:v>
                </c:pt>
                <c:pt idx="48">
                  <c:v>#N/A</c:v>
                </c:pt>
                <c:pt idx="49">
                  <c:v>#N/A</c:v>
                </c:pt>
                <c:pt idx="50">
                  <c:v>#N/A</c:v>
                </c:pt>
                <c:pt idx="51">
                  <c:v>44044</c:v>
                </c:pt>
                <c:pt idx="52">
                  <c:v>44044</c:v>
                </c:pt>
                <c:pt idx="53">
                  <c:v>44044</c:v>
                </c:pt>
                <c:pt idx="54">
                  <c:v>#N/A</c:v>
                </c:pt>
                <c:pt idx="55">
                  <c:v>#N/A</c:v>
                </c:pt>
                <c:pt idx="56">
                  <c:v>#N/A</c:v>
                </c:pt>
                <c:pt idx="57">
                  <c:v>#N/A</c:v>
                </c:pt>
                <c:pt idx="58">
                  <c:v>44075</c:v>
                </c:pt>
                <c:pt idx="59">
                  <c:v>44197</c:v>
                </c:pt>
                <c:pt idx="60">
                  <c:v>44197</c:v>
                </c:pt>
                <c:pt idx="61">
                  <c:v>#N/A</c:v>
                </c:pt>
                <c:pt idx="62">
                  <c:v>#N/A</c:v>
                </c:pt>
                <c:pt idx="63">
                  <c:v>#N/A</c:v>
                </c:pt>
                <c:pt idx="64">
                  <c:v>44228</c:v>
                </c:pt>
                <c:pt idx="65">
                  <c:v>#N/A</c:v>
                </c:pt>
                <c:pt idx="66">
                  <c:v>#N/A</c:v>
                </c:pt>
                <c:pt idx="67">
                  <c:v>44228</c:v>
                </c:pt>
                <c:pt idx="68">
                  <c:v>#N/A</c:v>
                </c:pt>
                <c:pt idx="69">
                  <c:v>#N/A</c:v>
                </c:pt>
                <c:pt idx="70">
                  <c:v>#N/A</c:v>
                </c:pt>
                <c:pt idx="71">
                  <c:v>#N/A</c:v>
                </c:pt>
                <c:pt idx="72">
                  <c:v>44348</c:v>
                </c:pt>
                <c:pt idx="73">
                  <c:v>44348</c:v>
                </c:pt>
                <c:pt idx="74">
                  <c:v>#N/A</c:v>
                </c:pt>
                <c:pt idx="75">
                  <c:v>#N/A</c:v>
                </c:pt>
                <c:pt idx="76">
                  <c:v>#N/A</c:v>
                </c:pt>
                <c:pt idx="77">
                  <c:v>#N/A</c:v>
                </c:pt>
                <c:pt idx="78">
                  <c:v>#N/A</c:v>
                </c:pt>
                <c:pt idx="79">
                  <c:v>#N/A</c:v>
                </c:pt>
                <c:pt idx="80">
                  <c:v>#N/A</c:v>
                </c:pt>
                <c:pt idx="81">
                  <c:v>#N/A</c:v>
                </c:pt>
                <c:pt idx="82">
                  <c:v>#N/A</c:v>
                </c:pt>
                <c:pt idx="83">
                  <c:v>44562</c:v>
                </c:pt>
                <c:pt idx="84">
                  <c:v>#N/A</c:v>
                </c:pt>
                <c:pt idx="85">
                  <c:v>#N/A</c:v>
                </c:pt>
                <c:pt idx="86">
                  <c:v>#N/A</c:v>
                </c:pt>
                <c:pt idx="87">
                  <c:v>#N/A</c:v>
                </c:pt>
                <c:pt idx="88">
                  <c:v>44593</c:v>
                </c:pt>
                <c:pt idx="89">
                  <c:v>44593</c:v>
                </c:pt>
                <c:pt idx="90">
                  <c:v>44593</c:v>
                </c:pt>
                <c:pt idx="91">
                  <c:v>#N/A</c:v>
                </c:pt>
                <c:pt idx="92">
                  <c:v>#N/A</c:v>
                </c:pt>
                <c:pt idx="93">
                  <c:v>#N/A</c:v>
                </c:pt>
                <c:pt idx="94">
                  <c:v>#N/A</c:v>
                </c:pt>
                <c:pt idx="95">
                  <c:v>#N/A</c:v>
                </c:pt>
                <c:pt idx="96">
                  <c:v>#N/A</c:v>
                </c:pt>
                <c:pt idx="97">
                  <c:v>#N/A</c:v>
                </c:pt>
                <c:pt idx="98">
                  <c:v>#N/A</c:v>
                </c:pt>
                <c:pt idx="99">
                  <c:v>#N/A</c:v>
                </c:pt>
                <c:pt idx="100">
                  <c:v>44682</c:v>
                </c:pt>
                <c:pt idx="101">
                  <c:v>#N/A</c:v>
                </c:pt>
                <c:pt idx="102">
                  <c:v>#N/A</c:v>
                </c:pt>
                <c:pt idx="103">
                  <c:v>44713</c:v>
                </c:pt>
                <c:pt idx="104">
                  <c:v>44713</c:v>
                </c:pt>
                <c:pt idx="105">
                  <c:v>#N/A</c:v>
                </c:pt>
                <c:pt idx="106">
                  <c:v>#N/A</c:v>
                </c:pt>
                <c:pt idx="107">
                  <c:v>#N/A</c:v>
                </c:pt>
                <c:pt idx="108">
                  <c:v>#N/A</c:v>
                </c:pt>
                <c:pt idx="109">
                  <c:v>#N/A</c:v>
                </c:pt>
                <c:pt idx="110">
                  <c:v>44805</c:v>
                </c:pt>
                <c:pt idx="111">
                  <c:v>#N/A</c:v>
                </c:pt>
                <c:pt idx="112">
                  <c:v>#N/A</c:v>
                </c:pt>
                <c:pt idx="113">
                  <c:v>44805</c:v>
                </c:pt>
                <c:pt idx="114">
                  <c:v>#N/A</c:v>
                </c:pt>
                <c:pt idx="115">
                  <c:v>#N/A</c:v>
                </c:pt>
                <c:pt idx="116">
                  <c:v>#N/A</c:v>
                </c:pt>
                <c:pt idx="117">
                  <c:v>#N/A</c:v>
                </c:pt>
                <c:pt idx="118">
                  <c:v>#N/A</c:v>
                </c:pt>
                <c:pt idx="119">
                  <c:v>#N/A</c:v>
                </c:pt>
                <c:pt idx="120">
                  <c:v>#N/A</c:v>
                </c:pt>
                <c:pt idx="121">
                  <c:v>#N/A</c:v>
                </c:pt>
                <c:pt idx="122">
                  <c:v>44866</c:v>
                </c:pt>
                <c:pt idx="123">
                  <c:v>#N/A</c:v>
                </c:pt>
                <c:pt idx="124">
                  <c:v>#N/A</c:v>
                </c:pt>
                <c:pt idx="125">
                  <c:v>#N/A</c:v>
                </c:pt>
                <c:pt idx="126">
                  <c:v>44927</c:v>
                </c:pt>
                <c:pt idx="127">
                  <c:v>44927</c:v>
                </c:pt>
                <c:pt idx="128">
                  <c:v>#N/A</c:v>
                </c:pt>
                <c:pt idx="129">
                  <c:v>#N/A</c:v>
                </c:pt>
                <c:pt idx="130">
                  <c:v>#N/A</c:v>
                </c:pt>
                <c:pt idx="131">
                  <c:v>#N/A</c:v>
                </c:pt>
                <c:pt idx="132">
                  <c:v>#N/A</c:v>
                </c:pt>
                <c:pt idx="133">
                  <c:v>#N/A</c:v>
                </c:pt>
                <c:pt idx="134">
                  <c:v>#N/A</c:v>
                </c:pt>
                <c:pt idx="135">
                  <c:v>#N/A</c:v>
                </c:pt>
                <c:pt idx="136">
                  <c:v>#N/A</c:v>
                </c:pt>
                <c:pt idx="137">
                  <c:v>#N/A</c:v>
                </c:pt>
                <c:pt idx="138">
                  <c:v>#N/A</c:v>
                </c:pt>
                <c:pt idx="139">
                  <c:v>44986</c:v>
                </c:pt>
                <c:pt idx="140">
                  <c:v>44986</c:v>
                </c:pt>
                <c:pt idx="141">
                  <c:v>44986</c:v>
                </c:pt>
                <c:pt idx="142">
                  <c:v>#N/A</c:v>
                </c:pt>
                <c:pt idx="143">
                  <c:v>#N/A</c:v>
                </c:pt>
                <c:pt idx="144">
                  <c:v>45078</c:v>
                </c:pt>
                <c:pt idx="145">
                  <c:v>#N/A</c:v>
                </c:pt>
              </c:numCache>
            </c:numRef>
          </c:xVal>
          <c:yVal>
            <c:numRef>
              <c:f>Plot_data_time!$AC$2:$AC$147</c:f>
              <c:numCache>
                <c:formatCode>General</c:formatCode>
                <c:ptCount val="146"/>
                <c:pt idx="0">
                  <c:v>#N/A</c:v>
                </c:pt>
                <c:pt idx="1">
                  <c:v>#N/A</c:v>
                </c:pt>
                <c:pt idx="2">
                  <c:v>#N/A</c:v>
                </c:pt>
                <c:pt idx="3">
                  <c:v>#N/A</c:v>
                </c:pt>
                <c:pt idx="4">
                  <c:v>#N/A</c:v>
                </c:pt>
                <c:pt idx="5">
                  <c:v>#N/A</c:v>
                </c:pt>
                <c:pt idx="6">
                  <c:v>#N/A</c:v>
                </c:pt>
                <c:pt idx="7">
                  <c:v>#N/A</c:v>
                </c:pt>
                <c:pt idx="8">
                  <c:v>#N/A</c:v>
                </c:pt>
                <c:pt idx="9">
                  <c:v>128</c:v>
                </c:pt>
                <c:pt idx="10">
                  <c:v>32</c:v>
                </c:pt>
                <c:pt idx="11">
                  <c:v>#N/A</c:v>
                </c:pt>
                <c:pt idx="12">
                  <c:v>#N/A</c:v>
                </c:pt>
                <c:pt idx="13">
                  <c:v>#N/A</c:v>
                </c:pt>
                <c:pt idx="14">
                  <c:v>#N/A</c:v>
                </c:pt>
                <c:pt idx="15">
                  <c:v>20</c:v>
                </c:pt>
                <c:pt idx="16">
                  <c:v>#N/A</c:v>
                </c:pt>
                <c:pt idx="17">
                  <c:v>#N/A</c:v>
                </c:pt>
                <c:pt idx="18">
                  <c:v>#N/A</c:v>
                </c:pt>
                <c:pt idx="19">
                  <c:v>#N/A</c:v>
                </c:pt>
                <c:pt idx="20">
                  <c:v>#N/A</c:v>
                </c:pt>
                <c:pt idx="21">
                  <c:v>#N/A</c:v>
                </c:pt>
                <c:pt idx="22">
                  <c:v>#N/A</c:v>
                </c:pt>
                <c:pt idx="23">
                  <c:v>#N/A</c:v>
                </c:pt>
                <c:pt idx="24">
                  <c:v>#N/A</c:v>
                </c:pt>
                <c:pt idx="25">
                  <c:v>2</c:v>
                </c:pt>
                <c:pt idx="26">
                  <c:v>#N/A</c:v>
                </c:pt>
                <c:pt idx="27">
                  <c:v>#N/A</c:v>
                </c:pt>
                <c:pt idx="28">
                  <c:v>#N/A</c:v>
                </c:pt>
                <c:pt idx="29">
                  <c:v>#N/A</c:v>
                </c:pt>
                <c:pt idx="30">
                  <c:v>24</c:v>
                </c:pt>
                <c:pt idx="31">
                  <c:v>24</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384</c:v>
                </c:pt>
                <c:pt idx="46">
                  <c:v>#N/A</c:v>
                </c:pt>
                <c:pt idx="47">
                  <c:v>#N/A</c:v>
                </c:pt>
                <c:pt idx="48">
                  <c:v>#N/A</c:v>
                </c:pt>
                <c:pt idx="49">
                  <c:v>#N/A</c:v>
                </c:pt>
                <c:pt idx="50">
                  <c:v>#N/A</c:v>
                </c:pt>
                <c:pt idx="51">
                  <c:v>32</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14-2C9B-4F81-8564-F87B50377741}"/>
            </c:ext>
          </c:extLst>
        </c:ser>
        <c:ser>
          <c:idx val="18"/>
          <c:order val="18"/>
          <c:tx>
            <c:v>TRX 110-170GHz</c:v>
          </c:tx>
          <c:spPr>
            <a:ln w="25400" cap="rnd">
              <a:noFill/>
              <a:round/>
            </a:ln>
            <a:effectLst/>
          </c:spPr>
          <c:marker>
            <c:symbol val="triangle"/>
            <c:size val="8"/>
            <c:spPr>
              <a:solidFill>
                <a:srgbClr val="7030A0">
                  <a:alpha val="75000"/>
                </a:srgbClr>
              </a:solidFill>
              <a:ln w="9525">
                <a:noFill/>
              </a:ln>
              <a:effectLst/>
            </c:spPr>
          </c:marker>
          <c:xVal>
            <c:numRef>
              <c:f>Plot_data_time!$X$2:$X$147</c:f>
              <c:numCache>
                <c:formatCode>m/d/yy</c:formatCode>
                <c:ptCount val="146"/>
                <c:pt idx="0">
                  <c:v>#N/A</c:v>
                </c:pt>
                <c:pt idx="1">
                  <c:v>40575</c:v>
                </c:pt>
                <c:pt idx="2">
                  <c:v>40575</c:v>
                </c:pt>
                <c:pt idx="3">
                  <c:v>#N/A</c:v>
                </c:pt>
                <c:pt idx="4">
                  <c:v>#N/A</c:v>
                </c:pt>
                <c:pt idx="5">
                  <c:v>#N/A</c:v>
                </c:pt>
                <c:pt idx="6">
                  <c:v>#N/A</c:v>
                </c:pt>
                <c:pt idx="7">
                  <c:v>#N/A</c:v>
                </c:pt>
                <c:pt idx="8">
                  <c:v>41334</c:v>
                </c:pt>
                <c:pt idx="9">
                  <c:v>41426</c:v>
                </c:pt>
                <c:pt idx="10">
                  <c:v>41456</c:v>
                </c:pt>
                <c:pt idx="11">
                  <c:v>#N/A</c:v>
                </c:pt>
                <c:pt idx="12">
                  <c:v>#N/A</c:v>
                </c:pt>
                <c:pt idx="13">
                  <c:v>41974</c:v>
                </c:pt>
                <c:pt idx="14">
                  <c:v>42125</c:v>
                </c:pt>
                <c:pt idx="15">
                  <c:v>42125</c:v>
                </c:pt>
                <c:pt idx="16">
                  <c:v>#N/A</c:v>
                </c:pt>
                <c:pt idx="17">
                  <c:v>#N/A</c:v>
                </c:pt>
                <c:pt idx="18">
                  <c:v>#N/A</c:v>
                </c:pt>
                <c:pt idx="19">
                  <c:v>#N/A</c:v>
                </c:pt>
                <c:pt idx="20">
                  <c:v>42767</c:v>
                </c:pt>
                <c:pt idx="21">
                  <c:v>#N/A</c:v>
                </c:pt>
                <c:pt idx="22">
                  <c:v>#N/A</c:v>
                </c:pt>
                <c:pt idx="23">
                  <c:v>#N/A</c:v>
                </c:pt>
                <c:pt idx="24">
                  <c:v>43132</c:v>
                </c:pt>
                <c:pt idx="25">
                  <c:v>43132</c:v>
                </c:pt>
                <c:pt idx="26">
                  <c:v>#N/A</c:v>
                </c:pt>
                <c:pt idx="27">
                  <c:v>#N/A</c:v>
                </c:pt>
                <c:pt idx="28">
                  <c:v>43132</c:v>
                </c:pt>
                <c:pt idx="29">
                  <c:v>43132</c:v>
                </c:pt>
                <c:pt idx="30">
                  <c:v>43132</c:v>
                </c:pt>
                <c:pt idx="31">
                  <c:v>43132</c:v>
                </c:pt>
                <c:pt idx="32">
                  <c:v>#N/A</c:v>
                </c:pt>
                <c:pt idx="33">
                  <c:v>43313</c:v>
                </c:pt>
                <c:pt idx="34">
                  <c:v>#N/A</c:v>
                </c:pt>
                <c:pt idx="35">
                  <c:v>#N/A</c:v>
                </c:pt>
                <c:pt idx="36">
                  <c:v>#N/A</c:v>
                </c:pt>
                <c:pt idx="37">
                  <c:v>43497</c:v>
                </c:pt>
                <c:pt idx="38">
                  <c:v>#N/A</c:v>
                </c:pt>
                <c:pt idx="39">
                  <c:v>#N/A</c:v>
                </c:pt>
                <c:pt idx="40">
                  <c:v>43497</c:v>
                </c:pt>
                <c:pt idx="41">
                  <c:v>43497</c:v>
                </c:pt>
                <c:pt idx="42">
                  <c:v>#N/A</c:v>
                </c:pt>
                <c:pt idx="43">
                  <c:v>#N/A</c:v>
                </c:pt>
                <c:pt idx="44">
                  <c:v>43617</c:v>
                </c:pt>
                <c:pt idx="45">
                  <c:v>43709</c:v>
                </c:pt>
                <c:pt idx="46">
                  <c:v>#N/A</c:v>
                </c:pt>
                <c:pt idx="47">
                  <c:v>#N/A</c:v>
                </c:pt>
                <c:pt idx="48">
                  <c:v>#N/A</c:v>
                </c:pt>
                <c:pt idx="49">
                  <c:v>#N/A</c:v>
                </c:pt>
                <c:pt idx="50">
                  <c:v>#N/A</c:v>
                </c:pt>
                <c:pt idx="51">
                  <c:v>44044</c:v>
                </c:pt>
                <c:pt idx="52">
                  <c:v>44044</c:v>
                </c:pt>
                <c:pt idx="53">
                  <c:v>44044</c:v>
                </c:pt>
                <c:pt idx="54">
                  <c:v>#N/A</c:v>
                </c:pt>
                <c:pt idx="55">
                  <c:v>#N/A</c:v>
                </c:pt>
                <c:pt idx="56">
                  <c:v>#N/A</c:v>
                </c:pt>
                <c:pt idx="57">
                  <c:v>#N/A</c:v>
                </c:pt>
                <c:pt idx="58">
                  <c:v>44075</c:v>
                </c:pt>
                <c:pt idx="59">
                  <c:v>44197</c:v>
                </c:pt>
                <c:pt idx="60">
                  <c:v>44197</c:v>
                </c:pt>
                <c:pt idx="61">
                  <c:v>#N/A</c:v>
                </c:pt>
                <c:pt idx="62">
                  <c:v>#N/A</c:v>
                </c:pt>
                <c:pt idx="63">
                  <c:v>#N/A</c:v>
                </c:pt>
                <c:pt idx="64">
                  <c:v>44228</c:v>
                </c:pt>
                <c:pt idx="65">
                  <c:v>#N/A</c:v>
                </c:pt>
                <c:pt idx="66">
                  <c:v>#N/A</c:v>
                </c:pt>
                <c:pt idx="67">
                  <c:v>44228</c:v>
                </c:pt>
                <c:pt idx="68">
                  <c:v>#N/A</c:v>
                </c:pt>
                <c:pt idx="69">
                  <c:v>#N/A</c:v>
                </c:pt>
                <c:pt idx="70">
                  <c:v>#N/A</c:v>
                </c:pt>
                <c:pt idx="71">
                  <c:v>#N/A</c:v>
                </c:pt>
                <c:pt idx="72">
                  <c:v>44348</c:v>
                </c:pt>
                <c:pt idx="73">
                  <c:v>44348</c:v>
                </c:pt>
                <c:pt idx="74">
                  <c:v>#N/A</c:v>
                </c:pt>
                <c:pt idx="75">
                  <c:v>#N/A</c:v>
                </c:pt>
                <c:pt idx="76">
                  <c:v>#N/A</c:v>
                </c:pt>
                <c:pt idx="77">
                  <c:v>#N/A</c:v>
                </c:pt>
                <c:pt idx="78">
                  <c:v>#N/A</c:v>
                </c:pt>
                <c:pt idx="79">
                  <c:v>#N/A</c:v>
                </c:pt>
                <c:pt idx="80">
                  <c:v>#N/A</c:v>
                </c:pt>
                <c:pt idx="81">
                  <c:v>#N/A</c:v>
                </c:pt>
                <c:pt idx="82">
                  <c:v>#N/A</c:v>
                </c:pt>
                <c:pt idx="83">
                  <c:v>44562</c:v>
                </c:pt>
                <c:pt idx="84">
                  <c:v>#N/A</c:v>
                </c:pt>
                <c:pt idx="85">
                  <c:v>#N/A</c:v>
                </c:pt>
                <c:pt idx="86">
                  <c:v>#N/A</c:v>
                </c:pt>
                <c:pt idx="87">
                  <c:v>#N/A</c:v>
                </c:pt>
                <c:pt idx="88">
                  <c:v>44593</c:v>
                </c:pt>
                <c:pt idx="89">
                  <c:v>44593</c:v>
                </c:pt>
                <c:pt idx="90">
                  <c:v>44593</c:v>
                </c:pt>
                <c:pt idx="91">
                  <c:v>#N/A</c:v>
                </c:pt>
                <c:pt idx="92">
                  <c:v>#N/A</c:v>
                </c:pt>
                <c:pt idx="93">
                  <c:v>#N/A</c:v>
                </c:pt>
                <c:pt idx="94">
                  <c:v>#N/A</c:v>
                </c:pt>
                <c:pt idx="95">
                  <c:v>#N/A</c:v>
                </c:pt>
                <c:pt idx="96">
                  <c:v>#N/A</c:v>
                </c:pt>
                <c:pt idx="97">
                  <c:v>#N/A</c:v>
                </c:pt>
                <c:pt idx="98">
                  <c:v>#N/A</c:v>
                </c:pt>
                <c:pt idx="99">
                  <c:v>#N/A</c:v>
                </c:pt>
                <c:pt idx="100">
                  <c:v>44682</c:v>
                </c:pt>
                <c:pt idx="101">
                  <c:v>#N/A</c:v>
                </c:pt>
                <c:pt idx="102">
                  <c:v>#N/A</c:v>
                </c:pt>
                <c:pt idx="103">
                  <c:v>44713</c:v>
                </c:pt>
                <c:pt idx="104">
                  <c:v>44713</c:v>
                </c:pt>
                <c:pt idx="105">
                  <c:v>#N/A</c:v>
                </c:pt>
                <c:pt idx="106">
                  <c:v>#N/A</c:v>
                </c:pt>
                <c:pt idx="107">
                  <c:v>#N/A</c:v>
                </c:pt>
                <c:pt idx="108">
                  <c:v>#N/A</c:v>
                </c:pt>
                <c:pt idx="109">
                  <c:v>#N/A</c:v>
                </c:pt>
                <c:pt idx="110">
                  <c:v>44805</c:v>
                </c:pt>
                <c:pt idx="111">
                  <c:v>#N/A</c:v>
                </c:pt>
                <c:pt idx="112">
                  <c:v>#N/A</c:v>
                </c:pt>
                <c:pt idx="113">
                  <c:v>44805</c:v>
                </c:pt>
                <c:pt idx="114">
                  <c:v>#N/A</c:v>
                </c:pt>
                <c:pt idx="115">
                  <c:v>#N/A</c:v>
                </c:pt>
                <c:pt idx="116">
                  <c:v>#N/A</c:v>
                </c:pt>
                <c:pt idx="117">
                  <c:v>#N/A</c:v>
                </c:pt>
                <c:pt idx="118">
                  <c:v>#N/A</c:v>
                </c:pt>
                <c:pt idx="119">
                  <c:v>#N/A</c:v>
                </c:pt>
                <c:pt idx="120">
                  <c:v>#N/A</c:v>
                </c:pt>
                <c:pt idx="121">
                  <c:v>#N/A</c:v>
                </c:pt>
                <c:pt idx="122">
                  <c:v>44866</c:v>
                </c:pt>
                <c:pt idx="123">
                  <c:v>#N/A</c:v>
                </c:pt>
                <c:pt idx="124">
                  <c:v>#N/A</c:v>
                </c:pt>
                <c:pt idx="125">
                  <c:v>#N/A</c:v>
                </c:pt>
                <c:pt idx="126">
                  <c:v>44927</c:v>
                </c:pt>
                <c:pt idx="127">
                  <c:v>44927</c:v>
                </c:pt>
                <c:pt idx="128">
                  <c:v>#N/A</c:v>
                </c:pt>
                <c:pt idx="129">
                  <c:v>#N/A</c:v>
                </c:pt>
                <c:pt idx="130">
                  <c:v>#N/A</c:v>
                </c:pt>
                <c:pt idx="131">
                  <c:v>#N/A</c:v>
                </c:pt>
                <c:pt idx="132">
                  <c:v>#N/A</c:v>
                </c:pt>
                <c:pt idx="133">
                  <c:v>#N/A</c:v>
                </c:pt>
                <c:pt idx="134">
                  <c:v>#N/A</c:v>
                </c:pt>
                <c:pt idx="135">
                  <c:v>#N/A</c:v>
                </c:pt>
                <c:pt idx="136">
                  <c:v>#N/A</c:v>
                </c:pt>
                <c:pt idx="137">
                  <c:v>#N/A</c:v>
                </c:pt>
                <c:pt idx="138">
                  <c:v>#N/A</c:v>
                </c:pt>
                <c:pt idx="139">
                  <c:v>44986</c:v>
                </c:pt>
                <c:pt idx="140">
                  <c:v>44986</c:v>
                </c:pt>
                <c:pt idx="141">
                  <c:v>44986</c:v>
                </c:pt>
                <c:pt idx="142">
                  <c:v>#N/A</c:v>
                </c:pt>
                <c:pt idx="143">
                  <c:v>#N/A</c:v>
                </c:pt>
                <c:pt idx="144">
                  <c:v>45078</c:v>
                </c:pt>
                <c:pt idx="145">
                  <c:v>#N/A</c:v>
                </c:pt>
              </c:numCache>
            </c:numRef>
          </c:xVal>
          <c:yVal>
            <c:numRef>
              <c:f>Plot_data_time!$AD$2:$AD$147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2</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2</c:v>
                </c:pt>
                <c:pt idx="53">
                  <c:v>2</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2</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8</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126</c:v>
                </c:pt>
                <c:pt idx="145">
                  <c:v>#N/A</c:v>
                </c:pt>
              </c:numCache>
            </c:numRef>
          </c:yVal>
          <c:smooth val="0"/>
          <c:extLst>
            <c:ext xmlns:c16="http://schemas.microsoft.com/office/drawing/2014/chart" uri="{C3380CC4-5D6E-409C-BE32-E72D297353CC}">
              <c16:uniqueId val="{00000015-2C9B-4F81-8564-F87B50377741}"/>
            </c:ext>
          </c:extLst>
        </c:ser>
        <c:ser>
          <c:idx val="19"/>
          <c:order val="19"/>
          <c:tx>
            <c:v>TRX 170-260GHz</c:v>
          </c:tx>
          <c:spPr>
            <a:ln w="25400" cap="rnd">
              <a:noFill/>
              <a:round/>
            </a:ln>
            <a:effectLst/>
          </c:spPr>
          <c:marker>
            <c:symbol val="triangle"/>
            <c:size val="8"/>
            <c:spPr>
              <a:solidFill>
                <a:srgbClr val="FF66CC">
                  <a:alpha val="75000"/>
                </a:srgbClr>
              </a:solidFill>
              <a:ln w="9525">
                <a:noFill/>
              </a:ln>
              <a:effectLst/>
            </c:spPr>
          </c:marker>
          <c:xVal>
            <c:numRef>
              <c:f>Plot_data_time!$X$2:$X$147</c:f>
              <c:numCache>
                <c:formatCode>m/d/yy</c:formatCode>
                <c:ptCount val="146"/>
                <c:pt idx="0">
                  <c:v>#N/A</c:v>
                </c:pt>
                <c:pt idx="1">
                  <c:v>40575</c:v>
                </c:pt>
                <c:pt idx="2">
                  <c:v>40575</c:v>
                </c:pt>
                <c:pt idx="3">
                  <c:v>#N/A</c:v>
                </c:pt>
                <c:pt idx="4">
                  <c:v>#N/A</c:v>
                </c:pt>
                <c:pt idx="5">
                  <c:v>#N/A</c:v>
                </c:pt>
                <c:pt idx="6">
                  <c:v>#N/A</c:v>
                </c:pt>
                <c:pt idx="7">
                  <c:v>#N/A</c:v>
                </c:pt>
                <c:pt idx="8">
                  <c:v>41334</c:v>
                </c:pt>
                <c:pt idx="9">
                  <c:v>41426</c:v>
                </c:pt>
                <c:pt idx="10">
                  <c:v>41456</c:v>
                </c:pt>
                <c:pt idx="11">
                  <c:v>#N/A</c:v>
                </c:pt>
                <c:pt idx="12">
                  <c:v>#N/A</c:v>
                </c:pt>
                <c:pt idx="13">
                  <c:v>41974</c:v>
                </c:pt>
                <c:pt idx="14">
                  <c:v>42125</c:v>
                </c:pt>
                <c:pt idx="15">
                  <c:v>42125</c:v>
                </c:pt>
                <c:pt idx="16">
                  <c:v>#N/A</c:v>
                </c:pt>
                <c:pt idx="17">
                  <c:v>#N/A</c:v>
                </c:pt>
                <c:pt idx="18">
                  <c:v>#N/A</c:v>
                </c:pt>
                <c:pt idx="19">
                  <c:v>#N/A</c:v>
                </c:pt>
                <c:pt idx="20">
                  <c:v>42767</c:v>
                </c:pt>
                <c:pt idx="21">
                  <c:v>#N/A</c:v>
                </c:pt>
                <c:pt idx="22">
                  <c:v>#N/A</c:v>
                </c:pt>
                <c:pt idx="23">
                  <c:v>#N/A</c:v>
                </c:pt>
                <c:pt idx="24">
                  <c:v>43132</c:v>
                </c:pt>
                <c:pt idx="25">
                  <c:v>43132</c:v>
                </c:pt>
                <c:pt idx="26">
                  <c:v>#N/A</c:v>
                </c:pt>
                <c:pt idx="27">
                  <c:v>#N/A</c:v>
                </c:pt>
                <c:pt idx="28">
                  <c:v>43132</c:v>
                </c:pt>
                <c:pt idx="29">
                  <c:v>43132</c:v>
                </c:pt>
                <c:pt idx="30">
                  <c:v>43132</c:v>
                </c:pt>
                <c:pt idx="31">
                  <c:v>43132</c:v>
                </c:pt>
                <c:pt idx="32">
                  <c:v>#N/A</c:v>
                </c:pt>
                <c:pt idx="33">
                  <c:v>43313</c:v>
                </c:pt>
                <c:pt idx="34">
                  <c:v>#N/A</c:v>
                </c:pt>
                <c:pt idx="35">
                  <c:v>#N/A</c:v>
                </c:pt>
                <c:pt idx="36">
                  <c:v>#N/A</c:v>
                </c:pt>
                <c:pt idx="37">
                  <c:v>43497</c:v>
                </c:pt>
                <c:pt idx="38">
                  <c:v>#N/A</c:v>
                </c:pt>
                <c:pt idx="39">
                  <c:v>#N/A</c:v>
                </c:pt>
                <c:pt idx="40">
                  <c:v>43497</c:v>
                </c:pt>
                <c:pt idx="41">
                  <c:v>43497</c:v>
                </c:pt>
                <c:pt idx="42">
                  <c:v>#N/A</c:v>
                </c:pt>
                <c:pt idx="43">
                  <c:v>#N/A</c:v>
                </c:pt>
                <c:pt idx="44">
                  <c:v>43617</c:v>
                </c:pt>
                <c:pt idx="45">
                  <c:v>43709</c:v>
                </c:pt>
                <c:pt idx="46">
                  <c:v>#N/A</c:v>
                </c:pt>
                <c:pt idx="47">
                  <c:v>#N/A</c:v>
                </c:pt>
                <c:pt idx="48">
                  <c:v>#N/A</c:v>
                </c:pt>
                <c:pt idx="49">
                  <c:v>#N/A</c:v>
                </c:pt>
                <c:pt idx="50">
                  <c:v>#N/A</c:v>
                </c:pt>
                <c:pt idx="51">
                  <c:v>44044</c:v>
                </c:pt>
                <c:pt idx="52">
                  <c:v>44044</c:v>
                </c:pt>
                <c:pt idx="53">
                  <c:v>44044</c:v>
                </c:pt>
                <c:pt idx="54">
                  <c:v>#N/A</c:v>
                </c:pt>
                <c:pt idx="55">
                  <c:v>#N/A</c:v>
                </c:pt>
                <c:pt idx="56">
                  <c:v>#N/A</c:v>
                </c:pt>
                <c:pt idx="57">
                  <c:v>#N/A</c:v>
                </c:pt>
                <c:pt idx="58">
                  <c:v>44075</c:v>
                </c:pt>
                <c:pt idx="59">
                  <c:v>44197</c:v>
                </c:pt>
                <c:pt idx="60">
                  <c:v>44197</c:v>
                </c:pt>
                <c:pt idx="61">
                  <c:v>#N/A</c:v>
                </c:pt>
                <c:pt idx="62">
                  <c:v>#N/A</c:v>
                </c:pt>
                <c:pt idx="63">
                  <c:v>#N/A</c:v>
                </c:pt>
                <c:pt idx="64">
                  <c:v>44228</c:v>
                </c:pt>
                <c:pt idx="65">
                  <c:v>#N/A</c:v>
                </c:pt>
                <c:pt idx="66">
                  <c:v>#N/A</c:v>
                </c:pt>
                <c:pt idx="67">
                  <c:v>44228</c:v>
                </c:pt>
                <c:pt idx="68">
                  <c:v>#N/A</c:v>
                </c:pt>
                <c:pt idx="69">
                  <c:v>#N/A</c:v>
                </c:pt>
                <c:pt idx="70">
                  <c:v>#N/A</c:v>
                </c:pt>
                <c:pt idx="71">
                  <c:v>#N/A</c:v>
                </c:pt>
                <c:pt idx="72">
                  <c:v>44348</c:v>
                </c:pt>
                <c:pt idx="73">
                  <c:v>44348</c:v>
                </c:pt>
                <c:pt idx="74">
                  <c:v>#N/A</c:v>
                </c:pt>
                <c:pt idx="75">
                  <c:v>#N/A</c:v>
                </c:pt>
                <c:pt idx="76">
                  <c:v>#N/A</c:v>
                </c:pt>
                <c:pt idx="77">
                  <c:v>#N/A</c:v>
                </c:pt>
                <c:pt idx="78">
                  <c:v>#N/A</c:v>
                </c:pt>
                <c:pt idx="79">
                  <c:v>#N/A</c:v>
                </c:pt>
                <c:pt idx="80">
                  <c:v>#N/A</c:v>
                </c:pt>
                <c:pt idx="81">
                  <c:v>#N/A</c:v>
                </c:pt>
                <c:pt idx="82">
                  <c:v>#N/A</c:v>
                </c:pt>
                <c:pt idx="83">
                  <c:v>44562</c:v>
                </c:pt>
                <c:pt idx="84">
                  <c:v>#N/A</c:v>
                </c:pt>
                <c:pt idx="85">
                  <c:v>#N/A</c:v>
                </c:pt>
                <c:pt idx="86">
                  <c:v>#N/A</c:v>
                </c:pt>
                <c:pt idx="87">
                  <c:v>#N/A</c:v>
                </c:pt>
                <c:pt idx="88">
                  <c:v>44593</c:v>
                </c:pt>
                <c:pt idx="89">
                  <c:v>44593</c:v>
                </c:pt>
                <c:pt idx="90">
                  <c:v>44593</c:v>
                </c:pt>
                <c:pt idx="91">
                  <c:v>#N/A</c:v>
                </c:pt>
                <c:pt idx="92">
                  <c:v>#N/A</c:v>
                </c:pt>
                <c:pt idx="93">
                  <c:v>#N/A</c:v>
                </c:pt>
                <c:pt idx="94">
                  <c:v>#N/A</c:v>
                </c:pt>
                <c:pt idx="95">
                  <c:v>#N/A</c:v>
                </c:pt>
                <c:pt idx="96">
                  <c:v>#N/A</c:v>
                </c:pt>
                <c:pt idx="97">
                  <c:v>#N/A</c:v>
                </c:pt>
                <c:pt idx="98">
                  <c:v>#N/A</c:v>
                </c:pt>
                <c:pt idx="99">
                  <c:v>#N/A</c:v>
                </c:pt>
                <c:pt idx="100">
                  <c:v>44682</c:v>
                </c:pt>
                <c:pt idx="101">
                  <c:v>#N/A</c:v>
                </c:pt>
                <c:pt idx="102">
                  <c:v>#N/A</c:v>
                </c:pt>
                <c:pt idx="103">
                  <c:v>44713</c:v>
                </c:pt>
                <c:pt idx="104">
                  <c:v>44713</c:v>
                </c:pt>
                <c:pt idx="105">
                  <c:v>#N/A</c:v>
                </c:pt>
                <c:pt idx="106">
                  <c:v>#N/A</c:v>
                </c:pt>
                <c:pt idx="107">
                  <c:v>#N/A</c:v>
                </c:pt>
                <c:pt idx="108">
                  <c:v>#N/A</c:v>
                </c:pt>
                <c:pt idx="109">
                  <c:v>#N/A</c:v>
                </c:pt>
                <c:pt idx="110">
                  <c:v>44805</c:v>
                </c:pt>
                <c:pt idx="111">
                  <c:v>#N/A</c:v>
                </c:pt>
                <c:pt idx="112">
                  <c:v>#N/A</c:v>
                </c:pt>
                <c:pt idx="113">
                  <c:v>44805</c:v>
                </c:pt>
                <c:pt idx="114">
                  <c:v>#N/A</c:v>
                </c:pt>
                <c:pt idx="115">
                  <c:v>#N/A</c:v>
                </c:pt>
                <c:pt idx="116">
                  <c:v>#N/A</c:v>
                </c:pt>
                <c:pt idx="117">
                  <c:v>#N/A</c:v>
                </c:pt>
                <c:pt idx="118">
                  <c:v>#N/A</c:v>
                </c:pt>
                <c:pt idx="119">
                  <c:v>#N/A</c:v>
                </c:pt>
                <c:pt idx="120">
                  <c:v>#N/A</c:v>
                </c:pt>
                <c:pt idx="121">
                  <c:v>#N/A</c:v>
                </c:pt>
                <c:pt idx="122">
                  <c:v>44866</c:v>
                </c:pt>
                <c:pt idx="123">
                  <c:v>#N/A</c:v>
                </c:pt>
                <c:pt idx="124">
                  <c:v>#N/A</c:v>
                </c:pt>
                <c:pt idx="125">
                  <c:v>#N/A</c:v>
                </c:pt>
                <c:pt idx="126">
                  <c:v>44927</c:v>
                </c:pt>
                <c:pt idx="127">
                  <c:v>44927</c:v>
                </c:pt>
                <c:pt idx="128">
                  <c:v>#N/A</c:v>
                </c:pt>
                <c:pt idx="129">
                  <c:v>#N/A</c:v>
                </c:pt>
                <c:pt idx="130">
                  <c:v>#N/A</c:v>
                </c:pt>
                <c:pt idx="131">
                  <c:v>#N/A</c:v>
                </c:pt>
                <c:pt idx="132">
                  <c:v>#N/A</c:v>
                </c:pt>
                <c:pt idx="133">
                  <c:v>#N/A</c:v>
                </c:pt>
                <c:pt idx="134">
                  <c:v>#N/A</c:v>
                </c:pt>
                <c:pt idx="135">
                  <c:v>#N/A</c:v>
                </c:pt>
                <c:pt idx="136">
                  <c:v>#N/A</c:v>
                </c:pt>
                <c:pt idx="137">
                  <c:v>#N/A</c:v>
                </c:pt>
                <c:pt idx="138">
                  <c:v>#N/A</c:v>
                </c:pt>
                <c:pt idx="139">
                  <c:v>44986</c:v>
                </c:pt>
                <c:pt idx="140">
                  <c:v>44986</c:v>
                </c:pt>
                <c:pt idx="141">
                  <c:v>44986</c:v>
                </c:pt>
                <c:pt idx="142">
                  <c:v>#N/A</c:v>
                </c:pt>
                <c:pt idx="143">
                  <c:v>#N/A</c:v>
                </c:pt>
                <c:pt idx="144">
                  <c:v>45078</c:v>
                </c:pt>
                <c:pt idx="145">
                  <c:v>#N/A</c:v>
                </c:pt>
              </c:numCache>
            </c:numRef>
          </c:xVal>
          <c:yVal>
            <c:numRef>
              <c:f>Plot_data_time!$AE$2:$AE$147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8</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16-2C9B-4F81-8564-F87B50377741}"/>
            </c:ext>
          </c:extLst>
        </c:ser>
        <c:ser>
          <c:idx val="20"/>
          <c:order val="20"/>
          <c:tx>
            <c:v>TRX &gt;260GHz</c:v>
          </c:tx>
          <c:spPr>
            <a:ln w="25400" cap="rnd">
              <a:noFill/>
              <a:round/>
            </a:ln>
            <a:effectLst/>
          </c:spPr>
          <c:marker>
            <c:symbol val="triangle"/>
            <c:size val="8"/>
            <c:spPr>
              <a:solidFill>
                <a:srgbClr val="002060">
                  <a:alpha val="75000"/>
                </a:srgbClr>
              </a:solidFill>
              <a:ln w="9525">
                <a:noFill/>
              </a:ln>
              <a:effectLst/>
            </c:spPr>
          </c:marker>
          <c:xVal>
            <c:numRef>
              <c:f>Plot_data_time!$X$2:$X$147</c:f>
              <c:numCache>
                <c:formatCode>m/d/yy</c:formatCode>
                <c:ptCount val="146"/>
                <c:pt idx="0">
                  <c:v>#N/A</c:v>
                </c:pt>
                <c:pt idx="1">
                  <c:v>40575</c:v>
                </c:pt>
                <c:pt idx="2">
                  <c:v>40575</c:v>
                </c:pt>
                <c:pt idx="3">
                  <c:v>#N/A</c:v>
                </c:pt>
                <c:pt idx="4">
                  <c:v>#N/A</c:v>
                </c:pt>
                <c:pt idx="5">
                  <c:v>#N/A</c:v>
                </c:pt>
                <c:pt idx="6">
                  <c:v>#N/A</c:v>
                </c:pt>
                <c:pt idx="7">
                  <c:v>#N/A</c:v>
                </c:pt>
                <c:pt idx="8">
                  <c:v>41334</c:v>
                </c:pt>
                <c:pt idx="9">
                  <c:v>41426</c:v>
                </c:pt>
                <c:pt idx="10">
                  <c:v>41456</c:v>
                </c:pt>
                <c:pt idx="11">
                  <c:v>#N/A</c:v>
                </c:pt>
                <c:pt idx="12">
                  <c:v>#N/A</c:v>
                </c:pt>
                <c:pt idx="13">
                  <c:v>41974</c:v>
                </c:pt>
                <c:pt idx="14">
                  <c:v>42125</c:v>
                </c:pt>
                <c:pt idx="15">
                  <c:v>42125</c:v>
                </c:pt>
                <c:pt idx="16">
                  <c:v>#N/A</c:v>
                </c:pt>
                <c:pt idx="17">
                  <c:v>#N/A</c:v>
                </c:pt>
                <c:pt idx="18">
                  <c:v>#N/A</c:v>
                </c:pt>
                <c:pt idx="19">
                  <c:v>#N/A</c:v>
                </c:pt>
                <c:pt idx="20">
                  <c:v>42767</c:v>
                </c:pt>
                <c:pt idx="21">
                  <c:v>#N/A</c:v>
                </c:pt>
                <c:pt idx="22">
                  <c:v>#N/A</c:v>
                </c:pt>
                <c:pt idx="23">
                  <c:v>#N/A</c:v>
                </c:pt>
                <c:pt idx="24">
                  <c:v>43132</c:v>
                </c:pt>
                <c:pt idx="25">
                  <c:v>43132</c:v>
                </c:pt>
                <c:pt idx="26">
                  <c:v>#N/A</c:v>
                </c:pt>
                <c:pt idx="27">
                  <c:v>#N/A</c:v>
                </c:pt>
                <c:pt idx="28">
                  <c:v>43132</c:v>
                </c:pt>
                <c:pt idx="29">
                  <c:v>43132</c:v>
                </c:pt>
                <c:pt idx="30">
                  <c:v>43132</c:v>
                </c:pt>
                <c:pt idx="31">
                  <c:v>43132</c:v>
                </c:pt>
                <c:pt idx="32">
                  <c:v>#N/A</c:v>
                </c:pt>
                <c:pt idx="33">
                  <c:v>43313</c:v>
                </c:pt>
                <c:pt idx="34">
                  <c:v>#N/A</c:v>
                </c:pt>
                <c:pt idx="35">
                  <c:v>#N/A</c:v>
                </c:pt>
                <c:pt idx="36">
                  <c:v>#N/A</c:v>
                </c:pt>
                <c:pt idx="37">
                  <c:v>43497</c:v>
                </c:pt>
                <c:pt idx="38">
                  <c:v>#N/A</c:v>
                </c:pt>
                <c:pt idx="39">
                  <c:v>#N/A</c:v>
                </c:pt>
                <c:pt idx="40">
                  <c:v>43497</c:v>
                </c:pt>
                <c:pt idx="41">
                  <c:v>43497</c:v>
                </c:pt>
                <c:pt idx="42">
                  <c:v>#N/A</c:v>
                </c:pt>
                <c:pt idx="43">
                  <c:v>#N/A</c:v>
                </c:pt>
                <c:pt idx="44">
                  <c:v>43617</c:v>
                </c:pt>
                <c:pt idx="45">
                  <c:v>43709</c:v>
                </c:pt>
                <c:pt idx="46">
                  <c:v>#N/A</c:v>
                </c:pt>
                <c:pt idx="47">
                  <c:v>#N/A</c:v>
                </c:pt>
                <c:pt idx="48">
                  <c:v>#N/A</c:v>
                </c:pt>
                <c:pt idx="49">
                  <c:v>#N/A</c:v>
                </c:pt>
                <c:pt idx="50">
                  <c:v>#N/A</c:v>
                </c:pt>
                <c:pt idx="51">
                  <c:v>44044</c:v>
                </c:pt>
                <c:pt idx="52">
                  <c:v>44044</c:v>
                </c:pt>
                <c:pt idx="53">
                  <c:v>44044</c:v>
                </c:pt>
                <c:pt idx="54">
                  <c:v>#N/A</c:v>
                </c:pt>
                <c:pt idx="55">
                  <c:v>#N/A</c:v>
                </c:pt>
                <c:pt idx="56">
                  <c:v>#N/A</c:v>
                </c:pt>
                <c:pt idx="57">
                  <c:v>#N/A</c:v>
                </c:pt>
                <c:pt idx="58">
                  <c:v>44075</c:v>
                </c:pt>
                <c:pt idx="59">
                  <c:v>44197</c:v>
                </c:pt>
                <c:pt idx="60">
                  <c:v>44197</c:v>
                </c:pt>
                <c:pt idx="61">
                  <c:v>#N/A</c:v>
                </c:pt>
                <c:pt idx="62">
                  <c:v>#N/A</c:v>
                </c:pt>
                <c:pt idx="63">
                  <c:v>#N/A</c:v>
                </c:pt>
                <c:pt idx="64">
                  <c:v>44228</c:v>
                </c:pt>
                <c:pt idx="65">
                  <c:v>#N/A</c:v>
                </c:pt>
                <c:pt idx="66">
                  <c:v>#N/A</c:v>
                </c:pt>
                <c:pt idx="67">
                  <c:v>44228</c:v>
                </c:pt>
                <c:pt idx="68">
                  <c:v>#N/A</c:v>
                </c:pt>
                <c:pt idx="69">
                  <c:v>#N/A</c:v>
                </c:pt>
                <c:pt idx="70">
                  <c:v>#N/A</c:v>
                </c:pt>
                <c:pt idx="71">
                  <c:v>#N/A</c:v>
                </c:pt>
                <c:pt idx="72">
                  <c:v>44348</c:v>
                </c:pt>
                <c:pt idx="73">
                  <c:v>44348</c:v>
                </c:pt>
                <c:pt idx="74">
                  <c:v>#N/A</c:v>
                </c:pt>
                <c:pt idx="75">
                  <c:v>#N/A</c:v>
                </c:pt>
                <c:pt idx="76">
                  <c:v>#N/A</c:v>
                </c:pt>
                <c:pt idx="77">
                  <c:v>#N/A</c:v>
                </c:pt>
                <c:pt idx="78">
                  <c:v>#N/A</c:v>
                </c:pt>
                <c:pt idx="79">
                  <c:v>#N/A</c:v>
                </c:pt>
                <c:pt idx="80">
                  <c:v>#N/A</c:v>
                </c:pt>
                <c:pt idx="81">
                  <c:v>#N/A</c:v>
                </c:pt>
                <c:pt idx="82">
                  <c:v>#N/A</c:v>
                </c:pt>
                <c:pt idx="83">
                  <c:v>44562</c:v>
                </c:pt>
                <c:pt idx="84">
                  <c:v>#N/A</c:v>
                </c:pt>
                <c:pt idx="85">
                  <c:v>#N/A</c:v>
                </c:pt>
                <c:pt idx="86">
                  <c:v>#N/A</c:v>
                </c:pt>
                <c:pt idx="87">
                  <c:v>#N/A</c:v>
                </c:pt>
                <c:pt idx="88">
                  <c:v>44593</c:v>
                </c:pt>
                <c:pt idx="89">
                  <c:v>44593</c:v>
                </c:pt>
                <c:pt idx="90">
                  <c:v>44593</c:v>
                </c:pt>
                <c:pt idx="91">
                  <c:v>#N/A</c:v>
                </c:pt>
                <c:pt idx="92">
                  <c:v>#N/A</c:v>
                </c:pt>
                <c:pt idx="93">
                  <c:v>#N/A</c:v>
                </c:pt>
                <c:pt idx="94">
                  <c:v>#N/A</c:v>
                </c:pt>
                <c:pt idx="95">
                  <c:v>#N/A</c:v>
                </c:pt>
                <c:pt idx="96">
                  <c:v>#N/A</c:v>
                </c:pt>
                <c:pt idx="97">
                  <c:v>#N/A</c:v>
                </c:pt>
                <c:pt idx="98">
                  <c:v>#N/A</c:v>
                </c:pt>
                <c:pt idx="99">
                  <c:v>#N/A</c:v>
                </c:pt>
                <c:pt idx="100">
                  <c:v>44682</c:v>
                </c:pt>
                <c:pt idx="101">
                  <c:v>#N/A</c:v>
                </c:pt>
                <c:pt idx="102">
                  <c:v>#N/A</c:v>
                </c:pt>
                <c:pt idx="103">
                  <c:v>44713</c:v>
                </c:pt>
                <c:pt idx="104">
                  <c:v>44713</c:v>
                </c:pt>
                <c:pt idx="105">
                  <c:v>#N/A</c:v>
                </c:pt>
                <c:pt idx="106">
                  <c:v>#N/A</c:v>
                </c:pt>
                <c:pt idx="107">
                  <c:v>#N/A</c:v>
                </c:pt>
                <c:pt idx="108">
                  <c:v>#N/A</c:v>
                </c:pt>
                <c:pt idx="109">
                  <c:v>#N/A</c:v>
                </c:pt>
                <c:pt idx="110">
                  <c:v>44805</c:v>
                </c:pt>
                <c:pt idx="111">
                  <c:v>#N/A</c:v>
                </c:pt>
                <c:pt idx="112">
                  <c:v>#N/A</c:v>
                </c:pt>
                <c:pt idx="113">
                  <c:v>44805</c:v>
                </c:pt>
                <c:pt idx="114">
                  <c:v>#N/A</c:v>
                </c:pt>
                <c:pt idx="115">
                  <c:v>#N/A</c:v>
                </c:pt>
                <c:pt idx="116">
                  <c:v>#N/A</c:v>
                </c:pt>
                <c:pt idx="117">
                  <c:v>#N/A</c:v>
                </c:pt>
                <c:pt idx="118">
                  <c:v>#N/A</c:v>
                </c:pt>
                <c:pt idx="119">
                  <c:v>#N/A</c:v>
                </c:pt>
                <c:pt idx="120">
                  <c:v>#N/A</c:v>
                </c:pt>
                <c:pt idx="121">
                  <c:v>#N/A</c:v>
                </c:pt>
                <c:pt idx="122">
                  <c:v>44866</c:v>
                </c:pt>
                <c:pt idx="123">
                  <c:v>#N/A</c:v>
                </c:pt>
                <c:pt idx="124">
                  <c:v>#N/A</c:v>
                </c:pt>
                <c:pt idx="125">
                  <c:v>#N/A</c:v>
                </c:pt>
                <c:pt idx="126">
                  <c:v>44927</c:v>
                </c:pt>
                <c:pt idx="127">
                  <c:v>44927</c:v>
                </c:pt>
                <c:pt idx="128">
                  <c:v>#N/A</c:v>
                </c:pt>
                <c:pt idx="129">
                  <c:v>#N/A</c:v>
                </c:pt>
                <c:pt idx="130">
                  <c:v>#N/A</c:v>
                </c:pt>
                <c:pt idx="131">
                  <c:v>#N/A</c:v>
                </c:pt>
                <c:pt idx="132">
                  <c:v>#N/A</c:v>
                </c:pt>
                <c:pt idx="133">
                  <c:v>#N/A</c:v>
                </c:pt>
                <c:pt idx="134">
                  <c:v>#N/A</c:v>
                </c:pt>
                <c:pt idx="135">
                  <c:v>#N/A</c:v>
                </c:pt>
                <c:pt idx="136">
                  <c:v>#N/A</c:v>
                </c:pt>
                <c:pt idx="137">
                  <c:v>#N/A</c:v>
                </c:pt>
                <c:pt idx="138">
                  <c:v>#N/A</c:v>
                </c:pt>
                <c:pt idx="139">
                  <c:v>44986</c:v>
                </c:pt>
                <c:pt idx="140">
                  <c:v>44986</c:v>
                </c:pt>
                <c:pt idx="141">
                  <c:v>44986</c:v>
                </c:pt>
                <c:pt idx="142">
                  <c:v>#N/A</c:v>
                </c:pt>
                <c:pt idx="143">
                  <c:v>#N/A</c:v>
                </c:pt>
                <c:pt idx="144">
                  <c:v>45078</c:v>
                </c:pt>
                <c:pt idx="145">
                  <c:v>#N/A</c:v>
                </c:pt>
              </c:numCache>
            </c:numRef>
          </c:xVal>
          <c:yVal>
            <c:numRef>
              <c:f>Plot_data_time!$AF$2:$AF$147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2</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4</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16</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17-2C9B-4F81-8564-F87B50377741}"/>
            </c:ext>
          </c:extLst>
        </c:ser>
        <c:ser>
          <c:idx val="27"/>
          <c:order val="27"/>
          <c:tx>
            <c:v>Osc &gt; 260GHz</c:v>
          </c:tx>
          <c:spPr>
            <a:ln w="25400" cap="rnd">
              <a:noFill/>
              <a:round/>
            </a:ln>
            <a:effectLst/>
          </c:spPr>
          <c:marker>
            <c:symbol val="x"/>
            <c:size val="7"/>
            <c:spPr>
              <a:noFill/>
              <a:ln w="15875">
                <a:solidFill>
                  <a:schemeClr val="tx1">
                    <a:alpha val="75000"/>
                  </a:schemeClr>
                </a:solidFill>
              </a:ln>
              <a:effectLst/>
            </c:spPr>
          </c:marker>
          <c:xVal>
            <c:numRef>
              <c:f>Plot_data_time!$AI$2:$AI$147</c:f>
              <c:numCache>
                <c:formatCode>m/d/yy</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41671</c:v>
                </c:pt>
                <c:pt idx="13">
                  <c:v>#N/A</c:v>
                </c:pt>
                <c:pt idx="14">
                  <c:v>#N/A</c:v>
                </c:pt>
                <c:pt idx="15">
                  <c:v>#N/A</c:v>
                </c:pt>
                <c:pt idx="16">
                  <c:v>#N/A</c:v>
                </c:pt>
                <c:pt idx="17">
                  <c:v>#N/A</c:v>
                </c:pt>
                <c:pt idx="18">
                  <c:v>#N/A</c:v>
                </c:pt>
                <c:pt idx="19">
                  <c:v>#N/A</c:v>
                </c:pt>
                <c:pt idx="20">
                  <c:v>#N/A</c:v>
                </c:pt>
                <c:pt idx="21">
                  <c:v>#N/A</c:v>
                </c:pt>
                <c:pt idx="22">
                  <c:v>#N/A</c:v>
                </c:pt>
                <c:pt idx="23">
                  <c:v>42826</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43862</c:v>
                </c:pt>
                <c:pt idx="47">
                  <c:v>43862</c:v>
                </c:pt>
                <c:pt idx="48">
                  <c:v>43862</c:v>
                </c:pt>
                <c:pt idx="49">
                  <c:v>43862</c:v>
                </c:pt>
                <c:pt idx="50">
                  <c:v>43862</c:v>
                </c:pt>
                <c:pt idx="51">
                  <c:v>#N/A</c:v>
                </c:pt>
                <c:pt idx="52">
                  <c:v>#N/A</c:v>
                </c:pt>
                <c:pt idx="53">
                  <c:v>#N/A</c:v>
                </c:pt>
                <c:pt idx="54">
                  <c:v>#N/A</c:v>
                </c:pt>
                <c:pt idx="55">
                  <c:v>#N/A</c:v>
                </c:pt>
                <c:pt idx="56">
                  <c:v>#N/A</c:v>
                </c:pt>
                <c:pt idx="57">
                  <c:v>#N/A</c:v>
                </c:pt>
                <c:pt idx="58">
                  <c:v>#N/A</c:v>
                </c:pt>
                <c:pt idx="59">
                  <c:v>#N/A</c:v>
                </c:pt>
                <c:pt idx="60">
                  <c:v>#N/A</c:v>
                </c:pt>
                <c:pt idx="61">
                  <c:v>#N/A</c:v>
                </c:pt>
                <c:pt idx="62">
                  <c:v>#N/A</c:v>
                </c:pt>
                <c:pt idx="63">
                  <c:v>44228</c:v>
                </c:pt>
                <c:pt idx="64">
                  <c:v>#N/A</c:v>
                </c:pt>
                <c:pt idx="65">
                  <c:v>44228</c:v>
                </c:pt>
                <c:pt idx="66">
                  <c:v>44228</c:v>
                </c:pt>
                <c:pt idx="67">
                  <c:v>#N/A</c:v>
                </c:pt>
                <c:pt idx="68">
                  <c:v>#N/A</c:v>
                </c:pt>
                <c:pt idx="69">
                  <c:v>#N/A</c:v>
                </c:pt>
                <c:pt idx="70">
                  <c:v>#N/A</c:v>
                </c:pt>
                <c:pt idx="71">
                  <c:v>#N/A</c:v>
                </c:pt>
                <c:pt idx="72">
                  <c:v>#N/A</c:v>
                </c:pt>
                <c:pt idx="73">
                  <c:v>#N/A</c:v>
                </c:pt>
                <c:pt idx="74">
                  <c:v>#N/A</c:v>
                </c:pt>
                <c:pt idx="75">
                  <c:v>#N/A</c:v>
                </c:pt>
                <c:pt idx="76">
                  <c:v>#N/A</c:v>
                </c:pt>
                <c:pt idx="77">
                  <c:v>#N/A</c:v>
                </c:pt>
                <c:pt idx="78">
                  <c:v>44531</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44593</c:v>
                </c:pt>
                <c:pt idx="95">
                  <c:v>#N/A</c:v>
                </c:pt>
                <c:pt idx="96">
                  <c:v>#N/A</c:v>
                </c:pt>
                <c:pt idx="97">
                  <c:v>#N/A</c:v>
                </c:pt>
                <c:pt idx="98">
                  <c:v>#N/A</c:v>
                </c:pt>
                <c:pt idx="99">
                  <c:v>#N/A</c:v>
                </c:pt>
                <c:pt idx="100">
                  <c:v>#N/A</c:v>
                </c:pt>
                <c:pt idx="101">
                  <c:v>44713</c:v>
                </c:pt>
                <c:pt idx="102">
                  <c:v>#N/A</c:v>
                </c:pt>
                <c:pt idx="103">
                  <c:v>#N/A</c:v>
                </c:pt>
                <c:pt idx="104">
                  <c:v>#N/A</c:v>
                </c:pt>
                <c:pt idx="105">
                  <c:v>#N/A</c:v>
                </c:pt>
                <c:pt idx="106">
                  <c:v>44743</c:v>
                </c:pt>
                <c:pt idx="107">
                  <c:v>44743</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44958</c:v>
                </c:pt>
                <c:pt idx="132">
                  <c:v>#N/A</c:v>
                </c:pt>
                <c:pt idx="133">
                  <c:v>#N/A</c:v>
                </c:pt>
                <c:pt idx="134">
                  <c:v>44958</c:v>
                </c:pt>
                <c:pt idx="135">
                  <c:v>#N/A</c:v>
                </c:pt>
                <c:pt idx="136">
                  <c:v>#N/A</c:v>
                </c:pt>
                <c:pt idx="137">
                  <c:v>#N/A</c:v>
                </c:pt>
                <c:pt idx="138">
                  <c:v>#N/A</c:v>
                </c:pt>
                <c:pt idx="139">
                  <c:v>#N/A</c:v>
                </c:pt>
                <c:pt idx="140">
                  <c:v>#N/A</c:v>
                </c:pt>
                <c:pt idx="141">
                  <c:v>#N/A</c:v>
                </c:pt>
                <c:pt idx="142">
                  <c:v>#N/A</c:v>
                </c:pt>
                <c:pt idx="143">
                  <c:v>#N/A</c:v>
                </c:pt>
                <c:pt idx="144">
                  <c:v>#N/A</c:v>
                </c:pt>
                <c:pt idx="145">
                  <c:v>#N/A</c:v>
                </c:pt>
              </c:numCache>
            </c:numRef>
          </c:xVal>
          <c:yVal>
            <c:numRef>
              <c:f>Plot_data_time!$AQ$2:$AQ$147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16</c:v>
                </c:pt>
                <c:pt idx="13">
                  <c:v>#N/A</c:v>
                </c:pt>
                <c:pt idx="14">
                  <c:v>#N/A</c:v>
                </c:pt>
                <c:pt idx="15">
                  <c:v>#N/A</c:v>
                </c:pt>
                <c:pt idx="16">
                  <c:v>#N/A</c:v>
                </c:pt>
                <c:pt idx="17">
                  <c:v>#N/A</c:v>
                </c:pt>
                <c:pt idx="18">
                  <c:v>#N/A</c:v>
                </c:pt>
                <c:pt idx="19">
                  <c:v>#N/A</c:v>
                </c:pt>
                <c:pt idx="20">
                  <c:v>#N/A</c:v>
                </c:pt>
                <c:pt idx="21">
                  <c:v>#N/A</c:v>
                </c:pt>
                <c:pt idx="22">
                  <c:v>#N/A</c:v>
                </c:pt>
                <c:pt idx="23">
                  <c:v>2</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64</c:v>
                </c:pt>
                <c:pt idx="47">
                  <c:v>36</c:v>
                </c:pt>
                <c:pt idx="48">
                  <c:v>16</c:v>
                </c:pt>
                <c:pt idx="49">
                  <c:v>1</c:v>
                </c:pt>
                <c:pt idx="50">
                  <c:v>8</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21</c:v>
                </c:pt>
                <c:pt idx="66">
                  <c:v>1</c:v>
                </c:pt>
                <c:pt idx="67">
                  <c:v>#N/A</c:v>
                </c:pt>
                <c:pt idx="68">
                  <c:v>#N/A</c:v>
                </c:pt>
                <c:pt idx="69">
                  <c:v>#N/A</c:v>
                </c:pt>
                <c:pt idx="70">
                  <c:v>#N/A</c:v>
                </c:pt>
                <c:pt idx="71">
                  <c:v>#N/A</c:v>
                </c:pt>
                <c:pt idx="72">
                  <c:v>#N/A</c:v>
                </c:pt>
                <c:pt idx="73">
                  <c:v>#N/A</c:v>
                </c:pt>
                <c:pt idx="74">
                  <c:v>#N/A</c:v>
                </c:pt>
                <c:pt idx="75">
                  <c:v>#N/A</c:v>
                </c:pt>
                <c:pt idx="76">
                  <c:v>#N/A</c:v>
                </c:pt>
                <c:pt idx="77">
                  <c:v>#N/A</c:v>
                </c:pt>
                <c:pt idx="78">
                  <c:v>16</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6</c:v>
                </c:pt>
                <c:pt idx="95">
                  <c:v>#N/A</c:v>
                </c:pt>
                <c:pt idx="96">
                  <c:v>#N/A</c:v>
                </c:pt>
                <c:pt idx="97">
                  <c:v>#N/A</c:v>
                </c:pt>
                <c:pt idx="98">
                  <c:v>#N/A</c:v>
                </c:pt>
                <c:pt idx="99">
                  <c:v>#N/A</c:v>
                </c:pt>
                <c:pt idx="100">
                  <c:v>#N/A</c:v>
                </c:pt>
                <c:pt idx="101">
                  <c:v>16</c:v>
                </c:pt>
                <c:pt idx="102">
                  <c:v>#N/A</c:v>
                </c:pt>
                <c:pt idx="103">
                  <c:v>#N/A</c:v>
                </c:pt>
                <c:pt idx="104">
                  <c:v>#N/A</c:v>
                </c:pt>
                <c:pt idx="105">
                  <c:v>#N/A</c:v>
                </c:pt>
                <c:pt idx="106">
                  <c:v>16</c:v>
                </c:pt>
                <c:pt idx="107">
                  <c:v>16</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144</c:v>
                </c:pt>
                <c:pt idx="132">
                  <c:v>#N/A</c:v>
                </c:pt>
                <c:pt idx="133">
                  <c:v>#N/A</c:v>
                </c:pt>
                <c:pt idx="134">
                  <c:v>16</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1E-2C9B-4F81-8564-F87B50377741}"/>
            </c:ext>
          </c:extLst>
        </c:ser>
        <c:ser>
          <c:idx val="28"/>
          <c:order val="28"/>
          <c:tx>
            <c:v>Relay &lt;20GHz</c:v>
          </c:tx>
          <c:spPr>
            <a:ln w="25400" cap="rnd">
              <a:noFill/>
              <a:round/>
            </a:ln>
            <a:effectLst/>
          </c:spPr>
          <c:marker>
            <c:symbol val="plus"/>
            <c:size val="8"/>
            <c:spPr>
              <a:noFill/>
              <a:ln w="15875">
                <a:solidFill>
                  <a:srgbClr val="FF0000"/>
                </a:solidFill>
              </a:ln>
              <a:effectLst/>
            </c:spPr>
          </c:marker>
          <c:xVal>
            <c:numRef>
              <c:f>Plot_data_time!$AT$2:$AT$147</c:f>
              <c:numCache>
                <c:formatCode>m/d/yy</c:formatCode>
                <c:ptCount val="146"/>
                <c:pt idx="0">
                  <c:v>#N/A</c:v>
                </c:pt>
                <c:pt idx="1">
                  <c:v>#N/A</c:v>
                </c:pt>
                <c:pt idx="2">
                  <c:v>#N/A</c:v>
                </c:pt>
                <c:pt idx="3">
                  <c:v>#N/A</c:v>
                </c:pt>
                <c:pt idx="4">
                  <c:v>#N/A</c:v>
                </c:pt>
                <c:pt idx="5">
                  <c:v>41214</c:v>
                </c:pt>
                <c:pt idx="6">
                  <c:v>41214</c:v>
                </c:pt>
                <c:pt idx="7">
                  <c:v>41244</c:v>
                </c:pt>
                <c:pt idx="8">
                  <c:v>#N/A</c:v>
                </c:pt>
                <c:pt idx="9">
                  <c:v>#N/A</c:v>
                </c:pt>
                <c:pt idx="10">
                  <c:v>#N/A</c:v>
                </c:pt>
                <c:pt idx="11">
                  <c:v>41671</c:v>
                </c:pt>
                <c:pt idx="12">
                  <c:v>#N/A</c:v>
                </c:pt>
                <c:pt idx="13">
                  <c:v>#N/A</c:v>
                </c:pt>
                <c:pt idx="14">
                  <c:v>#N/A</c:v>
                </c:pt>
                <c:pt idx="15">
                  <c:v>#N/A</c:v>
                </c:pt>
                <c:pt idx="16">
                  <c:v>42461</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43191</c:v>
                </c:pt>
                <c:pt idx="33">
                  <c:v>#N/A</c:v>
                </c:pt>
                <c:pt idx="34">
                  <c:v>#N/A</c:v>
                </c:pt>
                <c:pt idx="35">
                  <c:v>#N/A</c:v>
                </c:pt>
                <c:pt idx="36">
                  <c:v>43435</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44317</c:v>
                </c:pt>
                <c:pt idx="72">
                  <c:v>#N/A</c:v>
                </c:pt>
                <c:pt idx="73">
                  <c:v>#N/A</c:v>
                </c:pt>
                <c:pt idx="74">
                  <c:v>#N/A</c:v>
                </c:pt>
                <c:pt idx="75">
                  <c:v>#N/A</c:v>
                </c:pt>
                <c:pt idx="76">
                  <c:v>#N/A</c:v>
                </c:pt>
                <c:pt idx="77">
                  <c:v>#N/A</c:v>
                </c:pt>
                <c:pt idx="78">
                  <c:v>#N/A</c:v>
                </c:pt>
                <c:pt idx="79">
                  <c:v>#N/A</c:v>
                </c:pt>
                <c:pt idx="80">
                  <c:v>#N/A</c:v>
                </c:pt>
                <c:pt idx="81">
                  <c:v>#N/A</c:v>
                </c:pt>
                <c:pt idx="82">
                  <c:v>#N/A</c:v>
                </c:pt>
                <c:pt idx="83">
                  <c:v>#N/A</c:v>
                </c:pt>
                <c:pt idx="84">
                  <c:v>44562</c:v>
                </c:pt>
                <c:pt idx="85">
                  <c:v>#N/A</c:v>
                </c:pt>
                <c:pt idx="86">
                  <c:v>#N/A</c:v>
                </c:pt>
                <c:pt idx="87">
                  <c:v>#N/A</c:v>
                </c:pt>
                <c:pt idx="88">
                  <c:v>#N/A</c:v>
                </c:pt>
                <c:pt idx="89">
                  <c:v>#N/A</c:v>
                </c:pt>
                <c:pt idx="90">
                  <c:v>#N/A</c:v>
                </c:pt>
                <c:pt idx="91">
                  <c:v>#N/A</c:v>
                </c:pt>
                <c:pt idx="92">
                  <c:v>#N/A</c:v>
                </c:pt>
                <c:pt idx="93">
                  <c:v>#N/A</c:v>
                </c:pt>
                <c:pt idx="94">
                  <c:v>#N/A</c:v>
                </c:pt>
                <c:pt idx="95">
                  <c:v>#N/A</c:v>
                </c:pt>
                <c:pt idx="96">
                  <c:v>#N/A</c:v>
                </c:pt>
                <c:pt idx="97">
                  <c:v>44593</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44958</c:v>
                </c:pt>
                <c:pt idx="139">
                  <c:v>#N/A</c:v>
                </c:pt>
                <c:pt idx="140">
                  <c:v>#N/A</c:v>
                </c:pt>
                <c:pt idx="141">
                  <c:v>#N/A</c:v>
                </c:pt>
                <c:pt idx="142">
                  <c:v>45047</c:v>
                </c:pt>
                <c:pt idx="143">
                  <c:v>#N/A</c:v>
                </c:pt>
                <c:pt idx="144">
                  <c:v>#N/A</c:v>
                </c:pt>
                <c:pt idx="145">
                  <c:v>#N/A</c:v>
                </c:pt>
              </c:numCache>
            </c:numRef>
          </c:xVal>
          <c:yVal>
            <c:numRef>
              <c:f>Plot_data_time!$AV$2:$AV$147</c:f>
              <c:numCache>
                <c:formatCode>General</c:formatCode>
                <c:ptCount val="146"/>
                <c:pt idx="0">
                  <c:v>#N/A</c:v>
                </c:pt>
                <c:pt idx="1">
                  <c:v>#N/A</c:v>
                </c:pt>
                <c:pt idx="2">
                  <c:v>#N/A</c:v>
                </c:pt>
                <c:pt idx="3">
                  <c:v>#N/A</c:v>
                </c:pt>
                <c:pt idx="4">
                  <c:v>#N/A</c:v>
                </c:pt>
                <c:pt idx="5">
                  <c:v>#N/A</c:v>
                </c:pt>
                <c:pt idx="6">
                  <c:v>#N/A</c:v>
                </c:pt>
                <c:pt idx="7">
                  <c:v>0</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1F-2C9B-4F81-8564-F87B50377741}"/>
            </c:ext>
          </c:extLst>
        </c:ser>
        <c:ser>
          <c:idx val="29"/>
          <c:order val="29"/>
          <c:tx>
            <c:v>Relay 20-50GHz</c:v>
          </c:tx>
          <c:spPr>
            <a:ln w="25400" cap="rnd">
              <a:noFill/>
              <a:round/>
            </a:ln>
            <a:effectLst/>
          </c:spPr>
          <c:marker>
            <c:symbol val="plus"/>
            <c:size val="8"/>
            <c:spPr>
              <a:noFill/>
              <a:ln w="15875">
                <a:solidFill>
                  <a:schemeClr val="accent4"/>
                </a:solidFill>
              </a:ln>
              <a:effectLst/>
            </c:spPr>
          </c:marker>
          <c:xVal>
            <c:numRef>
              <c:f>Plot_data_time!$AT$2:$AT$147</c:f>
              <c:numCache>
                <c:formatCode>m/d/yy</c:formatCode>
                <c:ptCount val="146"/>
                <c:pt idx="0">
                  <c:v>#N/A</c:v>
                </c:pt>
                <c:pt idx="1">
                  <c:v>#N/A</c:v>
                </c:pt>
                <c:pt idx="2">
                  <c:v>#N/A</c:v>
                </c:pt>
                <c:pt idx="3">
                  <c:v>#N/A</c:v>
                </c:pt>
                <c:pt idx="4">
                  <c:v>#N/A</c:v>
                </c:pt>
                <c:pt idx="5">
                  <c:v>41214</c:v>
                </c:pt>
                <c:pt idx="6">
                  <c:v>41214</c:v>
                </c:pt>
                <c:pt idx="7">
                  <c:v>41244</c:v>
                </c:pt>
                <c:pt idx="8">
                  <c:v>#N/A</c:v>
                </c:pt>
                <c:pt idx="9">
                  <c:v>#N/A</c:v>
                </c:pt>
                <c:pt idx="10">
                  <c:v>#N/A</c:v>
                </c:pt>
                <c:pt idx="11">
                  <c:v>41671</c:v>
                </c:pt>
                <c:pt idx="12">
                  <c:v>#N/A</c:v>
                </c:pt>
                <c:pt idx="13">
                  <c:v>#N/A</c:v>
                </c:pt>
                <c:pt idx="14">
                  <c:v>#N/A</c:v>
                </c:pt>
                <c:pt idx="15">
                  <c:v>#N/A</c:v>
                </c:pt>
                <c:pt idx="16">
                  <c:v>42461</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43191</c:v>
                </c:pt>
                <c:pt idx="33">
                  <c:v>#N/A</c:v>
                </c:pt>
                <c:pt idx="34">
                  <c:v>#N/A</c:v>
                </c:pt>
                <c:pt idx="35">
                  <c:v>#N/A</c:v>
                </c:pt>
                <c:pt idx="36">
                  <c:v>43435</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44317</c:v>
                </c:pt>
                <c:pt idx="72">
                  <c:v>#N/A</c:v>
                </c:pt>
                <c:pt idx="73">
                  <c:v>#N/A</c:v>
                </c:pt>
                <c:pt idx="74">
                  <c:v>#N/A</c:v>
                </c:pt>
                <c:pt idx="75">
                  <c:v>#N/A</c:v>
                </c:pt>
                <c:pt idx="76">
                  <c:v>#N/A</c:v>
                </c:pt>
                <c:pt idx="77">
                  <c:v>#N/A</c:v>
                </c:pt>
                <c:pt idx="78">
                  <c:v>#N/A</c:v>
                </c:pt>
                <c:pt idx="79">
                  <c:v>#N/A</c:v>
                </c:pt>
                <c:pt idx="80">
                  <c:v>#N/A</c:v>
                </c:pt>
                <c:pt idx="81">
                  <c:v>#N/A</c:v>
                </c:pt>
                <c:pt idx="82">
                  <c:v>#N/A</c:v>
                </c:pt>
                <c:pt idx="83">
                  <c:v>#N/A</c:v>
                </c:pt>
                <c:pt idx="84">
                  <c:v>44562</c:v>
                </c:pt>
                <c:pt idx="85">
                  <c:v>#N/A</c:v>
                </c:pt>
                <c:pt idx="86">
                  <c:v>#N/A</c:v>
                </c:pt>
                <c:pt idx="87">
                  <c:v>#N/A</c:v>
                </c:pt>
                <c:pt idx="88">
                  <c:v>#N/A</c:v>
                </c:pt>
                <c:pt idx="89">
                  <c:v>#N/A</c:v>
                </c:pt>
                <c:pt idx="90">
                  <c:v>#N/A</c:v>
                </c:pt>
                <c:pt idx="91">
                  <c:v>#N/A</c:v>
                </c:pt>
                <c:pt idx="92">
                  <c:v>#N/A</c:v>
                </c:pt>
                <c:pt idx="93">
                  <c:v>#N/A</c:v>
                </c:pt>
                <c:pt idx="94">
                  <c:v>#N/A</c:v>
                </c:pt>
                <c:pt idx="95">
                  <c:v>#N/A</c:v>
                </c:pt>
                <c:pt idx="96">
                  <c:v>#N/A</c:v>
                </c:pt>
                <c:pt idx="97">
                  <c:v>44593</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44958</c:v>
                </c:pt>
                <c:pt idx="139">
                  <c:v>#N/A</c:v>
                </c:pt>
                <c:pt idx="140">
                  <c:v>#N/A</c:v>
                </c:pt>
                <c:pt idx="141">
                  <c:v>#N/A</c:v>
                </c:pt>
                <c:pt idx="142">
                  <c:v>45047</c:v>
                </c:pt>
                <c:pt idx="143">
                  <c:v>#N/A</c:v>
                </c:pt>
                <c:pt idx="144">
                  <c:v>#N/A</c:v>
                </c:pt>
                <c:pt idx="145">
                  <c:v>#N/A</c:v>
                </c:pt>
              </c:numCache>
            </c:numRef>
          </c:xVal>
          <c:yVal>
            <c:numRef>
              <c:f>Plot_data_time!$AW$2:$AW$147</c:f>
              <c:numCache>
                <c:formatCode>General</c:formatCode>
                <c:ptCount val="146"/>
                <c:pt idx="0">
                  <c:v>#N/A</c:v>
                </c:pt>
                <c:pt idx="1">
                  <c:v>#N/A</c:v>
                </c:pt>
                <c:pt idx="2">
                  <c:v>#N/A</c:v>
                </c:pt>
                <c:pt idx="3">
                  <c:v>#N/A</c:v>
                </c:pt>
                <c:pt idx="4">
                  <c:v>#N/A</c:v>
                </c:pt>
                <c:pt idx="5">
                  <c:v>0</c:v>
                </c:pt>
                <c:pt idx="6">
                  <c:v>0</c:v>
                </c:pt>
                <c:pt idx="7">
                  <c:v>#N/A</c:v>
                </c:pt>
                <c:pt idx="8">
                  <c:v>#N/A</c:v>
                </c:pt>
                <c:pt idx="9">
                  <c:v>#N/A</c:v>
                </c:pt>
                <c:pt idx="10">
                  <c:v>#N/A</c:v>
                </c:pt>
                <c:pt idx="11">
                  <c:v>0</c:v>
                </c:pt>
                <c:pt idx="12">
                  <c:v>#N/A</c:v>
                </c:pt>
                <c:pt idx="13">
                  <c:v>#N/A</c:v>
                </c:pt>
                <c:pt idx="14">
                  <c:v>#N/A</c:v>
                </c:pt>
                <c:pt idx="15">
                  <c:v>#N/A</c:v>
                </c:pt>
                <c:pt idx="16">
                  <c:v>0</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0</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0</c:v>
                </c:pt>
                <c:pt idx="72">
                  <c:v>#N/A</c:v>
                </c:pt>
                <c:pt idx="73">
                  <c:v>#N/A</c:v>
                </c:pt>
                <c:pt idx="74">
                  <c:v>#N/A</c:v>
                </c:pt>
                <c:pt idx="75">
                  <c:v>#N/A</c:v>
                </c:pt>
                <c:pt idx="76">
                  <c:v>#N/A</c:v>
                </c:pt>
                <c:pt idx="77">
                  <c:v>#N/A</c:v>
                </c:pt>
                <c:pt idx="78">
                  <c:v>#N/A</c:v>
                </c:pt>
                <c:pt idx="79">
                  <c:v>#N/A</c:v>
                </c:pt>
                <c:pt idx="80">
                  <c:v>#N/A</c:v>
                </c:pt>
                <c:pt idx="81">
                  <c:v>#N/A</c:v>
                </c:pt>
                <c:pt idx="82">
                  <c:v>#N/A</c:v>
                </c:pt>
                <c:pt idx="83">
                  <c:v>#N/A</c:v>
                </c:pt>
                <c:pt idx="84">
                  <c:v>36</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8</c:v>
                </c:pt>
                <c:pt idx="143">
                  <c:v>#N/A</c:v>
                </c:pt>
                <c:pt idx="144">
                  <c:v>#N/A</c:v>
                </c:pt>
                <c:pt idx="145">
                  <c:v>#N/A</c:v>
                </c:pt>
              </c:numCache>
            </c:numRef>
          </c:yVal>
          <c:smooth val="0"/>
          <c:extLst>
            <c:ext xmlns:c16="http://schemas.microsoft.com/office/drawing/2014/chart" uri="{C3380CC4-5D6E-409C-BE32-E72D297353CC}">
              <c16:uniqueId val="{00000020-2C9B-4F81-8564-F87B50377741}"/>
            </c:ext>
          </c:extLst>
        </c:ser>
        <c:ser>
          <c:idx val="30"/>
          <c:order val="30"/>
          <c:tx>
            <c:v>Relay 50-75GHz</c:v>
          </c:tx>
          <c:spPr>
            <a:ln w="25400" cap="rnd">
              <a:noFill/>
              <a:round/>
            </a:ln>
            <a:effectLst/>
          </c:spPr>
          <c:marker>
            <c:symbol val="plus"/>
            <c:size val="8"/>
            <c:spPr>
              <a:noFill/>
              <a:ln w="15875">
                <a:solidFill>
                  <a:srgbClr val="00B050">
                    <a:alpha val="75000"/>
                  </a:srgbClr>
                </a:solidFill>
              </a:ln>
              <a:effectLst/>
            </c:spPr>
          </c:marker>
          <c:xVal>
            <c:numRef>
              <c:f>Plot_data_time!$AT$2:$AT$147</c:f>
              <c:numCache>
                <c:formatCode>m/d/yy</c:formatCode>
                <c:ptCount val="146"/>
                <c:pt idx="0">
                  <c:v>#N/A</c:v>
                </c:pt>
                <c:pt idx="1">
                  <c:v>#N/A</c:v>
                </c:pt>
                <c:pt idx="2">
                  <c:v>#N/A</c:v>
                </c:pt>
                <c:pt idx="3">
                  <c:v>#N/A</c:v>
                </c:pt>
                <c:pt idx="4">
                  <c:v>#N/A</c:v>
                </c:pt>
                <c:pt idx="5">
                  <c:v>41214</c:v>
                </c:pt>
                <c:pt idx="6">
                  <c:v>41214</c:v>
                </c:pt>
                <c:pt idx="7">
                  <c:v>41244</c:v>
                </c:pt>
                <c:pt idx="8">
                  <c:v>#N/A</c:v>
                </c:pt>
                <c:pt idx="9">
                  <c:v>#N/A</c:v>
                </c:pt>
                <c:pt idx="10">
                  <c:v>#N/A</c:v>
                </c:pt>
                <c:pt idx="11">
                  <c:v>41671</c:v>
                </c:pt>
                <c:pt idx="12">
                  <c:v>#N/A</c:v>
                </c:pt>
                <c:pt idx="13">
                  <c:v>#N/A</c:v>
                </c:pt>
                <c:pt idx="14">
                  <c:v>#N/A</c:v>
                </c:pt>
                <c:pt idx="15">
                  <c:v>#N/A</c:v>
                </c:pt>
                <c:pt idx="16">
                  <c:v>42461</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43191</c:v>
                </c:pt>
                <c:pt idx="33">
                  <c:v>#N/A</c:v>
                </c:pt>
                <c:pt idx="34">
                  <c:v>#N/A</c:v>
                </c:pt>
                <c:pt idx="35">
                  <c:v>#N/A</c:v>
                </c:pt>
                <c:pt idx="36">
                  <c:v>43435</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44317</c:v>
                </c:pt>
                <c:pt idx="72">
                  <c:v>#N/A</c:v>
                </c:pt>
                <c:pt idx="73">
                  <c:v>#N/A</c:v>
                </c:pt>
                <c:pt idx="74">
                  <c:v>#N/A</c:v>
                </c:pt>
                <c:pt idx="75">
                  <c:v>#N/A</c:v>
                </c:pt>
                <c:pt idx="76">
                  <c:v>#N/A</c:v>
                </c:pt>
                <c:pt idx="77">
                  <c:v>#N/A</c:v>
                </c:pt>
                <c:pt idx="78">
                  <c:v>#N/A</c:v>
                </c:pt>
                <c:pt idx="79">
                  <c:v>#N/A</c:v>
                </c:pt>
                <c:pt idx="80">
                  <c:v>#N/A</c:v>
                </c:pt>
                <c:pt idx="81">
                  <c:v>#N/A</c:v>
                </c:pt>
                <c:pt idx="82">
                  <c:v>#N/A</c:v>
                </c:pt>
                <c:pt idx="83">
                  <c:v>#N/A</c:v>
                </c:pt>
                <c:pt idx="84">
                  <c:v>44562</c:v>
                </c:pt>
                <c:pt idx="85">
                  <c:v>#N/A</c:v>
                </c:pt>
                <c:pt idx="86">
                  <c:v>#N/A</c:v>
                </c:pt>
                <c:pt idx="87">
                  <c:v>#N/A</c:v>
                </c:pt>
                <c:pt idx="88">
                  <c:v>#N/A</c:v>
                </c:pt>
                <c:pt idx="89">
                  <c:v>#N/A</c:v>
                </c:pt>
                <c:pt idx="90">
                  <c:v>#N/A</c:v>
                </c:pt>
                <c:pt idx="91">
                  <c:v>#N/A</c:v>
                </c:pt>
                <c:pt idx="92">
                  <c:v>#N/A</c:v>
                </c:pt>
                <c:pt idx="93">
                  <c:v>#N/A</c:v>
                </c:pt>
                <c:pt idx="94">
                  <c:v>#N/A</c:v>
                </c:pt>
                <c:pt idx="95">
                  <c:v>#N/A</c:v>
                </c:pt>
                <c:pt idx="96">
                  <c:v>#N/A</c:v>
                </c:pt>
                <c:pt idx="97">
                  <c:v>44593</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44958</c:v>
                </c:pt>
                <c:pt idx="139">
                  <c:v>#N/A</c:v>
                </c:pt>
                <c:pt idx="140">
                  <c:v>#N/A</c:v>
                </c:pt>
                <c:pt idx="141">
                  <c:v>#N/A</c:v>
                </c:pt>
                <c:pt idx="142">
                  <c:v>45047</c:v>
                </c:pt>
                <c:pt idx="143">
                  <c:v>#N/A</c:v>
                </c:pt>
                <c:pt idx="144">
                  <c:v>#N/A</c:v>
                </c:pt>
                <c:pt idx="145">
                  <c:v>#N/A</c:v>
                </c:pt>
              </c:numCache>
            </c:numRef>
          </c:xVal>
          <c:yVal>
            <c:numRef>
              <c:f>Plot_data_time!$AX$2:$AX$147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0</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21-2C9B-4F81-8564-F87B50377741}"/>
            </c:ext>
          </c:extLst>
        </c:ser>
        <c:ser>
          <c:idx val="31"/>
          <c:order val="31"/>
          <c:tx>
            <c:v>Relay 75-110GHz</c:v>
          </c:tx>
          <c:spPr>
            <a:ln w="25400" cap="rnd">
              <a:noFill/>
              <a:round/>
            </a:ln>
            <a:effectLst/>
          </c:spPr>
          <c:marker>
            <c:symbol val="plus"/>
            <c:size val="8"/>
            <c:spPr>
              <a:noFill/>
              <a:ln w="15875">
                <a:solidFill>
                  <a:srgbClr val="00B0F0"/>
                </a:solidFill>
              </a:ln>
              <a:effectLst/>
            </c:spPr>
          </c:marker>
          <c:xVal>
            <c:numRef>
              <c:f>Plot_data_time!$AT$2:$AT$147</c:f>
              <c:numCache>
                <c:formatCode>m/d/yy</c:formatCode>
                <c:ptCount val="146"/>
                <c:pt idx="0">
                  <c:v>#N/A</c:v>
                </c:pt>
                <c:pt idx="1">
                  <c:v>#N/A</c:v>
                </c:pt>
                <c:pt idx="2">
                  <c:v>#N/A</c:v>
                </c:pt>
                <c:pt idx="3">
                  <c:v>#N/A</c:v>
                </c:pt>
                <c:pt idx="4">
                  <c:v>#N/A</c:v>
                </c:pt>
                <c:pt idx="5">
                  <c:v>41214</c:v>
                </c:pt>
                <c:pt idx="6">
                  <c:v>41214</c:v>
                </c:pt>
                <c:pt idx="7">
                  <c:v>41244</c:v>
                </c:pt>
                <c:pt idx="8">
                  <c:v>#N/A</c:v>
                </c:pt>
                <c:pt idx="9">
                  <c:v>#N/A</c:v>
                </c:pt>
                <c:pt idx="10">
                  <c:v>#N/A</c:v>
                </c:pt>
                <c:pt idx="11">
                  <c:v>41671</c:v>
                </c:pt>
                <c:pt idx="12">
                  <c:v>#N/A</c:v>
                </c:pt>
                <c:pt idx="13">
                  <c:v>#N/A</c:v>
                </c:pt>
                <c:pt idx="14">
                  <c:v>#N/A</c:v>
                </c:pt>
                <c:pt idx="15">
                  <c:v>#N/A</c:v>
                </c:pt>
                <c:pt idx="16">
                  <c:v>42461</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43191</c:v>
                </c:pt>
                <c:pt idx="33">
                  <c:v>#N/A</c:v>
                </c:pt>
                <c:pt idx="34">
                  <c:v>#N/A</c:v>
                </c:pt>
                <c:pt idx="35">
                  <c:v>#N/A</c:v>
                </c:pt>
                <c:pt idx="36">
                  <c:v>43435</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44317</c:v>
                </c:pt>
                <c:pt idx="72">
                  <c:v>#N/A</c:v>
                </c:pt>
                <c:pt idx="73">
                  <c:v>#N/A</c:v>
                </c:pt>
                <c:pt idx="74">
                  <c:v>#N/A</c:v>
                </c:pt>
                <c:pt idx="75">
                  <c:v>#N/A</c:v>
                </c:pt>
                <c:pt idx="76">
                  <c:v>#N/A</c:v>
                </c:pt>
                <c:pt idx="77">
                  <c:v>#N/A</c:v>
                </c:pt>
                <c:pt idx="78">
                  <c:v>#N/A</c:v>
                </c:pt>
                <c:pt idx="79">
                  <c:v>#N/A</c:v>
                </c:pt>
                <c:pt idx="80">
                  <c:v>#N/A</c:v>
                </c:pt>
                <c:pt idx="81">
                  <c:v>#N/A</c:v>
                </c:pt>
                <c:pt idx="82">
                  <c:v>#N/A</c:v>
                </c:pt>
                <c:pt idx="83">
                  <c:v>#N/A</c:v>
                </c:pt>
                <c:pt idx="84">
                  <c:v>44562</c:v>
                </c:pt>
                <c:pt idx="85">
                  <c:v>#N/A</c:v>
                </c:pt>
                <c:pt idx="86">
                  <c:v>#N/A</c:v>
                </c:pt>
                <c:pt idx="87">
                  <c:v>#N/A</c:v>
                </c:pt>
                <c:pt idx="88">
                  <c:v>#N/A</c:v>
                </c:pt>
                <c:pt idx="89">
                  <c:v>#N/A</c:v>
                </c:pt>
                <c:pt idx="90">
                  <c:v>#N/A</c:v>
                </c:pt>
                <c:pt idx="91">
                  <c:v>#N/A</c:v>
                </c:pt>
                <c:pt idx="92">
                  <c:v>#N/A</c:v>
                </c:pt>
                <c:pt idx="93">
                  <c:v>#N/A</c:v>
                </c:pt>
                <c:pt idx="94">
                  <c:v>#N/A</c:v>
                </c:pt>
                <c:pt idx="95">
                  <c:v>#N/A</c:v>
                </c:pt>
                <c:pt idx="96">
                  <c:v>#N/A</c:v>
                </c:pt>
                <c:pt idx="97">
                  <c:v>44593</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44958</c:v>
                </c:pt>
                <c:pt idx="139">
                  <c:v>#N/A</c:v>
                </c:pt>
                <c:pt idx="140">
                  <c:v>#N/A</c:v>
                </c:pt>
                <c:pt idx="141">
                  <c:v>#N/A</c:v>
                </c:pt>
                <c:pt idx="142">
                  <c:v>45047</c:v>
                </c:pt>
                <c:pt idx="143">
                  <c:v>#N/A</c:v>
                </c:pt>
                <c:pt idx="144">
                  <c:v>#N/A</c:v>
                </c:pt>
                <c:pt idx="145">
                  <c:v>#N/A</c:v>
                </c:pt>
              </c:numCache>
            </c:numRef>
          </c:xVal>
          <c:yVal>
            <c:numRef>
              <c:f>Plot_data_time!$AY$2:$AY$147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22-2C9B-4F81-8564-F87B50377741}"/>
            </c:ext>
          </c:extLst>
        </c:ser>
        <c:ser>
          <c:idx val="32"/>
          <c:order val="32"/>
          <c:tx>
            <c:v>Relay 110-170GHz</c:v>
          </c:tx>
          <c:spPr>
            <a:ln w="25400" cap="rnd">
              <a:noFill/>
              <a:round/>
            </a:ln>
            <a:effectLst/>
          </c:spPr>
          <c:marker>
            <c:symbol val="plus"/>
            <c:size val="8"/>
            <c:spPr>
              <a:noFill/>
              <a:ln w="15875">
                <a:solidFill>
                  <a:srgbClr val="7030A0">
                    <a:alpha val="75000"/>
                  </a:srgbClr>
                </a:solidFill>
              </a:ln>
              <a:effectLst/>
            </c:spPr>
          </c:marker>
          <c:xVal>
            <c:numRef>
              <c:f>Plot_data_time!$AT$2:$AT$147</c:f>
              <c:numCache>
                <c:formatCode>m/d/yy</c:formatCode>
                <c:ptCount val="146"/>
                <c:pt idx="0">
                  <c:v>#N/A</c:v>
                </c:pt>
                <c:pt idx="1">
                  <c:v>#N/A</c:v>
                </c:pt>
                <c:pt idx="2">
                  <c:v>#N/A</c:v>
                </c:pt>
                <c:pt idx="3">
                  <c:v>#N/A</c:v>
                </c:pt>
                <c:pt idx="4">
                  <c:v>#N/A</c:v>
                </c:pt>
                <c:pt idx="5">
                  <c:v>41214</c:v>
                </c:pt>
                <c:pt idx="6">
                  <c:v>41214</c:v>
                </c:pt>
                <c:pt idx="7">
                  <c:v>41244</c:v>
                </c:pt>
                <c:pt idx="8">
                  <c:v>#N/A</c:v>
                </c:pt>
                <c:pt idx="9">
                  <c:v>#N/A</c:v>
                </c:pt>
                <c:pt idx="10">
                  <c:v>#N/A</c:v>
                </c:pt>
                <c:pt idx="11">
                  <c:v>41671</c:v>
                </c:pt>
                <c:pt idx="12">
                  <c:v>#N/A</c:v>
                </c:pt>
                <c:pt idx="13">
                  <c:v>#N/A</c:v>
                </c:pt>
                <c:pt idx="14">
                  <c:v>#N/A</c:v>
                </c:pt>
                <c:pt idx="15">
                  <c:v>#N/A</c:v>
                </c:pt>
                <c:pt idx="16">
                  <c:v>42461</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43191</c:v>
                </c:pt>
                <c:pt idx="33">
                  <c:v>#N/A</c:v>
                </c:pt>
                <c:pt idx="34">
                  <c:v>#N/A</c:v>
                </c:pt>
                <c:pt idx="35">
                  <c:v>#N/A</c:v>
                </c:pt>
                <c:pt idx="36">
                  <c:v>43435</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44317</c:v>
                </c:pt>
                <c:pt idx="72">
                  <c:v>#N/A</c:v>
                </c:pt>
                <c:pt idx="73">
                  <c:v>#N/A</c:v>
                </c:pt>
                <c:pt idx="74">
                  <c:v>#N/A</c:v>
                </c:pt>
                <c:pt idx="75">
                  <c:v>#N/A</c:v>
                </c:pt>
                <c:pt idx="76">
                  <c:v>#N/A</c:v>
                </c:pt>
                <c:pt idx="77">
                  <c:v>#N/A</c:v>
                </c:pt>
                <c:pt idx="78">
                  <c:v>#N/A</c:v>
                </c:pt>
                <c:pt idx="79">
                  <c:v>#N/A</c:v>
                </c:pt>
                <c:pt idx="80">
                  <c:v>#N/A</c:v>
                </c:pt>
                <c:pt idx="81">
                  <c:v>#N/A</c:v>
                </c:pt>
                <c:pt idx="82">
                  <c:v>#N/A</c:v>
                </c:pt>
                <c:pt idx="83">
                  <c:v>#N/A</c:v>
                </c:pt>
                <c:pt idx="84">
                  <c:v>44562</c:v>
                </c:pt>
                <c:pt idx="85">
                  <c:v>#N/A</c:v>
                </c:pt>
                <c:pt idx="86">
                  <c:v>#N/A</c:v>
                </c:pt>
                <c:pt idx="87">
                  <c:v>#N/A</c:v>
                </c:pt>
                <c:pt idx="88">
                  <c:v>#N/A</c:v>
                </c:pt>
                <c:pt idx="89">
                  <c:v>#N/A</c:v>
                </c:pt>
                <c:pt idx="90">
                  <c:v>#N/A</c:v>
                </c:pt>
                <c:pt idx="91">
                  <c:v>#N/A</c:v>
                </c:pt>
                <c:pt idx="92">
                  <c:v>#N/A</c:v>
                </c:pt>
                <c:pt idx="93">
                  <c:v>#N/A</c:v>
                </c:pt>
                <c:pt idx="94">
                  <c:v>#N/A</c:v>
                </c:pt>
                <c:pt idx="95">
                  <c:v>#N/A</c:v>
                </c:pt>
                <c:pt idx="96">
                  <c:v>#N/A</c:v>
                </c:pt>
                <c:pt idx="97">
                  <c:v>44593</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44958</c:v>
                </c:pt>
                <c:pt idx="139">
                  <c:v>#N/A</c:v>
                </c:pt>
                <c:pt idx="140">
                  <c:v>#N/A</c:v>
                </c:pt>
                <c:pt idx="141">
                  <c:v>#N/A</c:v>
                </c:pt>
                <c:pt idx="142">
                  <c:v>45047</c:v>
                </c:pt>
                <c:pt idx="143">
                  <c:v>#N/A</c:v>
                </c:pt>
                <c:pt idx="144">
                  <c:v>#N/A</c:v>
                </c:pt>
                <c:pt idx="145">
                  <c:v>#N/A</c:v>
                </c:pt>
              </c:numCache>
            </c:numRef>
          </c:xVal>
          <c:yVal>
            <c:numRef>
              <c:f>Plot_data_time!$AZ$2:$AZ$147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23-2C9B-4F81-8564-F87B50377741}"/>
            </c:ext>
          </c:extLst>
        </c:ser>
        <c:ser>
          <c:idx val="33"/>
          <c:order val="33"/>
          <c:tx>
            <c:v>Relay 170-260GHz</c:v>
          </c:tx>
          <c:spPr>
            <a:ln w="25400" cap="rnd">
              <a:noFill/>
              <a:round/>
            </a:ln>
            <a:effectLst/>
          </c:spPr>
          <c:marker>
            <c:symbol val="plus"/>
            <c:size val="8"/>
            <c:spPr>
              <a:noFill/>
              <a:ln w="15875">
                <a:solidFill>
                  <a:srgbClr val="7030A0">
                    <a:alpha val="75000"/>
                  </a:srgbClr>
                </a:solidFill>
              </a:ln>
              <a:effectLst/>
            </c:spPr>
          </c:marker>
          <c:xVal>
            <c:numRef>
              <c:f>Plot_data_time!$AT$2:$AT$147</c:f>
              <c:numCache>
                <c:formatCode>m/d/yy</c:formatCode>
                <c:ptCount val="146"/>
                <c:pt idx="0">
                  <c:v>#N/A</c:v>
                </c:pt>
                <c:pt idx="1">
                  <c:v>#N/A</c:v>
                </c:pt>
                <c:pt idx="2">
                  <c:v>#N/A</c:v>
                </c:pt>
                <c:pt idx="3">
                  <c:v>#N/A</c:v>
                </c:pt>
                <c:pt idx="4">
                  <c:v>#N/A</c:v>
                </c:pt>
                <c:pt idx="5">
                  <c:v>41214</c:v>
                </c:pt>
                <c:pt idx="6">
                  <c:v>41214</c:v>
                </c:pt>
                <c:pt idx="7">
                  <c:v>41244</c:v>
                </c:pt>
                <c:pt idx="8">
                  <c:v>#N/A</c:v>
                </c:pt>
                <c:pt idx="9">
                  <c:v>#N/A</c:v>
                </c:pt>
                <c:pt idx="10">
                  <c:v>#N/A</c:v>
                </c:pt>
                <c:pt idx="11">
                  <c:v>41671</c:v>
                </c:pt>
                <c:pt idx="12">
                  <c:v>#N/A</c:v>
                </c:pt>
                <c:pt idx="13">
                  <c:v>#N/A</c:v>
                </c:pt>
                <c:pt idx="14">
                  <c:v>#N/A</c:v>
                </c:pt>
                <c:pt idx="15">
                  <c:v>#N/A</c:v>
                </c:pt>
                <c:pt idx="16">
                  <c:v>42461</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43191</c:v>
                </c:pt>
                <c:pt idx="33">
                  <c:v>#N/A</c:v>
                </c:pt>
                <c:pt idx="34">
                  <c:v>#N/A</c:v>
                </c:pt>
                <c:pt idx="35">
                  <c:v>#N/A</c:v>
                </c:pt>
                <c:pt idx="36">
                  <c:v>43435</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44317</c:v>
                </c:pt>
                <c:pt idx="72">
                  <c:v>#N/A</c:v>
                </c:pt>
                <c:pt idx="73">
                  <c:v>#N/A</c:v>
                </c:pt>
                <c:pt idx="74">
                  <c:v>#N/A</c:v>
                </c:pt>
                <c:pt idx="75">
                  <c:v>#N/A</c:v>
                </c:pt>
                <c:pt idx="76">
                  <c:v>#N/A</c:v>
                </c:pt>
                <c:pt idx="77">
                  <c:v>#N/A</c:v>
                </c:pt>
                <c:pt idx="78">
                  <c:v>#N/A</c:v>
                </c:pt>
                <c:pt idx="79">
                  <c:v>#N/A</c:v>
                </c:pt>
                <c:pt idx="80">
                  <c:v>#N/A</c:v>
                </c:pt>
                <c:pt idx="81">
                  <c:v>#N/A</c:v>
                </c:pt>
                <c:pt idx="82">
                  <c:v>#N/A</c:v>
                </c:pt>
                <c:pt idx="83">
                  <c:v>#N/A</c:v>
                </c:pt>
                <c:pt idx="84">
                  <c:v>44562</c:v>
                </c:pt>
                <c:pt idx="85">
                  <c:v>#N/A</c:v>
                </c:pt>
                <c:pt idx="86">
                  <c:v>#N/A</c:v>
                </c:pt>
                <c:pt idx="87">
                  <c:v>#N/A</c:v>
                </c:pt>
                <c:pt idx="88">
                  <c:v>#N/A</c:v>
                </c:pt>
                <c:pt idx="89">
                  <c:v>#N/A</c:v>
                </c:pt>
                <c:pt idx="90">
                  <c:v>#N/A</c:v>
                </c:pt>
                <c:pt idx="91">
                  <c:v>#N/A</c:v>
                </c:pt>
                <c:pt idx="92">
                  <c:v>#N/A</c:v>
                </c:pt>
                <c:pt idx="93">
                  <c:v>#N/A</c:v>
                </c:pt>
                <c:pt idx="94">
                  <c:v>#N/A</c:v>
                </c:pt>
                <c:pt idx="95">
                  <c:v>#N/A</c:v>
                </c:pt>
                <c:pt idx="96">
                  <c:v>#N/A</c:v>
                </c:pt>
                <c:pt idx="97">
                  <c:v>44593</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44958</c:v>
                </c:pt>
                <c:pt idx="139">
                  <c:v>#N/A</c:v>
                </c:pt>
                <c:pt idx="140">
                  <c:v>#N/A</c:v>
                </c:pt>
                <c:pt idx="141">
                  <c:v>#N/A</c:v>
                </c:pt>
                <c:pt idx="142">
                  <c:v>45047</c:v>
                </c:pt>
                <c:pt idx="143">
                  <c:v>#N/A</c:v>
                </c:pt>
                <c:pt idx="144">
                  <c:v>#N/A</c:v>
                </c:pt>
                <c:pt idx="145">
                  <c:v>#N/A</c:v>
                </c:pt>
              </c:numCache>
            </c:numRef>
          </c:xVal>
          <c:yVal>
            <c:numRef>
              <c:f>Plot_data_time!$BA$2:$BA$147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24-2C9B-4F81-8564-F87B50377741}"/>
            </c:ext>
          </c:extLst>
        </c:ser>
        <c:ser>
          <c:idx val="34"/>
          <c:order val="34"/>
          <c:tx>
            <c:v>Relay &gt;260GHz</c:v>
          </c:tx>
          <c:spPr>
            <a:ln w="25400" cap="rnd">
              <a:noFill/>
              <a:round/>
            </a:ln>
            <a:effectLst/>
          </c:spPr>
          <c:marker>
            <c:symbol val="plus"/>
            <c:size val="8"/>
            <c:spPr>
              <a:noFill/>
              <a:ln w="15875">
                <a:solidFill>
                  <a:srgbClr val="002060">
                    <a:alpha val="75000"/>
                  </a:srgbClr>
                </a:solidFill>
              </a:ln>
              <a:effectLst/>
            </c:spPr>
          </c:marker>
          <c:xVal>
            <c:numRef>
              <c:f>Plot_data_time!$AT$2:$AT$147</c:f>
              <c:numCache>
                <c:formatCode>m/d/yy</c:formatCode>
                <c:ptCount val="146"/>
                <c:pt idx="0">
                  <c:v>#N/A</c:v>
                </c:pt>
                <c:pt idx="1">
                  <c:v>#N/A</c:v>
                </c:pt>
                <c:pt idx="2">
                  <c:v>#N/A</c:v>
                </c:pt>
                <c:pt idx="3">
                  <c:v>#N/A</c:v>
                </c:pt>
                <c:pt idx="4">
                  <c:v>#N/A</c:v>
                </c:pt>
                <c:pt idx="5">
                  <c:v>41214</c:v>
                </c:pt>
                <c:pt idx="6">
                  <c:v>41214</c:v>
                </c:pt>
                <c:pt idx="7">
                  <c:v>41244</c:v>
                </c:pt>
                <c:pt idx="8">
                  <c:v>#N/A</c:v>
                </c:pt>
                <c:pt idx="9">
                  <c:v>#N/A</c:v>
                </c:pt>
                <c:pt idx="10">
                  <c:v>#N/A</c:v>
                </c:pt>
                <c:pt idx="11">
                  <c:v>41671</c:v>
                </c:pt>
                <c:pt idx="12">
                  <c:v>#N/A</c:v>
                </c:pt>
                <c:pt idx="13">
                  <c:v>#N/A</c:v>
                </c:pt>
                <c:pt idx="14">
                  <c:v>#N/A</c:v>
                </c:pt>
                <c:pt idx="15">
                  <c:v>#N/A</c:v>
                </c:pt>
                <c:pt idx="16">
                  <c:v>42461</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43191</c:v>
                </c:pt>
                <c:pt idx="33">
                  <c:v>#N/A</c:v>
                </c:pt>
                <c:pt idx="34">
                  <c:v>#N/A</c:v>
                </c:pt>
                <c:pt idx="35">
                  <c:v>#N/A</c:v>
                </c:pt>
                <c:pt idx="36">
                  <c:v>43435</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44317</c:v>
                </c:pt>
                <c:pt idx="72">
                  <c:v>#N/A</c:v>
                </c:pt>
                <c:pt idx="73">
                  <c:v>#N/A</c:v>
                </c:pt>
                <c:pt idx="74">
                  <c:v>#N/A</c:v>
                </c:pt>
                <c:pt idx="75">
                  <c:v>#N/A</c:v>
                </c:pt>
                <c:pt idx="76">
                  <c:v>#N/A</c:v>
                </c:pt>
                <c:pt idx="77">
                  <c:v>#N/A</c:v>
                </c:pt>
                <c:pt idx="78">
                  <c:v>#N/A</c:v>
                </c:pt>
                <c:pt idx="79">
                  <c:v>#N/A</c:v>
                </c:pt>
                <c:pt idx="80">
                  <c:v>#N/A</c:v>
                </c:pt>
                <c:pt idx="81">
                  <c:v>#N/A</c:v>
                </c:pt>
                <c:pt idx="82">
                  <c:v>#N/A</c:v>
                </c:pt>
                <c:pt idx="83">
                  <c:v>#N/A</c:v>
                </c:pt>
                <c:pt idx="84">
                  <c:v>44562</c:v>
                </c:pt>
                <c:pt idx="85">
                  <c:v>#N/A</c:v>
                </c:pt>
                <c:pt idx="86">
                  <c:v>#N/A</c:v>
                </c:pt>
                <c:pt idx="87">
                  <c:v>#N/A</c:v>
                </c:pt>
                <c:pt idx="88">
                  <c:v>#N/A</c:v>
                </c:pt>
                <c:pt idx="89">
                  <c:v>#N/A</c:v>
                </c:pt>
                <c:pt idx="90">
                  <c:v>#N/A</c:v>
                </c:pt>
                <c:pt idx="91">
                  <c:v>#N/A</c:v>
                </c:pt>
                <c:pt idx="92">
                  <c:v>#N/A</c:v>
                </c:pt>
                <c:pt idx="93">
                  <c:v>#N/A</c:v>
                </c:pt>
                <c:pt idx="94">
                  <c:v>#N/A</c:v>
                </c:pt>
                <c:pt idx="95">
                  <c:v>#N/A</c:v>
                </c:pt>
                <c:pt idx="96">
                  <c:v>#N/A</c:v>
                </c:pt>
                <c:pt idx="97">
                  <c:v>44593</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44958</c:v>
                </c:pt>
                <c:pt idx="139">
                  <c:v>#N/A</c:v>
                </c:pt>
                <c:pt idx="140">
                  <c:v>#N/A</c:v>
                </c:pt>
                <c:pt idx="141">
                  <c:v>#N/A</c:v>
                </c:pt>
                <c:pt idx="142">
                  <c:v>45047</c:v>
                </c:pt>
                <c:pt idx="143">
                  <c:v>#N/A</c:v>
                </c:pt>
                <c:pt idx="144">
                  <c:v>#N/A</c:v>
                </c:pt>
                <c:pt idx="145">
                  <c:v>#N/A</c:v>
                </c:pt>
              </c:numCache>
            </c:numRef>
          </c:xVal>
          <c:yVal>
            <c:numRef>
              <c:f>Plot_data_time!$BB$2:$BB$147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19208</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8</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25-2C9B-4F81-8564-F87B50377741}"/>
            </c:ext>
          </c:extLst>
        </c:ser>
        <c:dLbls>
          <c:showLegendKey val="0"/>
          <c:showVal val="0"/>
          <c:showCatName val="0"/>
          <c:showSerName val="0"/>
          <c:showPercent val="0"/>
          <c:showBubbleSize val="0"/>
        </c:dLbls>
        <c:axId val="249305247"/>
        <c:axId val="249087183"/>
        <c:extLst>
          <c:ext xmlns:c15="http://schemas.microsoft.com/office/drawing/2012/chart" uri="{02D57815-91ED-43cb-92C2-25804820EDAC}">
            <c15:filteredScatterSeries>
              <c15:ser>
                <c:idx val="21"/>
                <c:order val="21"/>
                <c:tx>
                  <c:v>Osc &lt;20GHz</c:v>
                </c:tx>
                <c:spPr>
                  <a:ln w="25400" cap="rnd">
                    <a:noFill/>
                    <a:round/>
                  </a:ln>
                  <a:effectLst/>
                </c:spPr>
                <c:marker>
                  <c:symbol val="circle"/>
                  <c:size val="5"/>
                  <c:spPr>
                    <a:solidFill>
                      <a:schemeClr val="accent4">
                        <a:lumMod val="80000"/>
                      </a:schemeClr>
                    </a:solidFill>
                    <a:ln w="9525">
                      <a:solidFill>
                        <a:schemeClr val="accent4">
                          <a:lumMod val="80000"/>
                        </a:schemeClr>
                      </a:solidFill>
                    </a:ln>
                    <a:effectLst/>
                  </c:spPr>
                </c:marker>
                <c:yVal>
                  <c:numRef>
                    <c:extLst>
                      <c:ext uri="{02D57815-91ED-43cb-92C2-25804820EDAC}">
                        <c15:formulaRef>
                          <c15:sqref>Plot_data_time!$AK$2:$AK$147</c15:sqref>
                        </c15:formulaRef>
                      </c:ext>
                    </c:extLst>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18-2C9B-4F81-8564-F87B50377741}"/>
                  </c:ext>
                </c:extLst>
              </c15:ser>
            </c15:filteredScatterSeries>
            <c15:filteredScatterSeries>
              <c15:ser>
                <c:idx val="22"/>
                <c:order val="22"/>
                <c:tx>
                  <c:v>Osc 20-50GHz</c:v>
                </c:tx>
                <c:spPr>
                  <a:ln w="25400" cap="rnd">
                    <a:noFill/>
                    <a:round/>
                  </a:ln>
                  <a:effectLst/>
                </c:spPr>
                <c:marker>
                  <c:symbol val="circle"/>
                  <c:size val="5"/>
                  <c:spPr>
                    <a:solidFill>
                      <a:schemeClr val="accent5">
                        <a:lumMod val="80000"/>
                      </a:schemeClr>
                    </a:solidFill>
                    <a:ln w="9525">
                      <a:solidFill>
                        <a:schemeClr val="accent5">
                          <a:lumMod val="80000"/>
                        </a:schemeClr>
                      </a:solidFill>
                    </a:ln>
                    <a:effectLst/>
                  </c:spPr>
                </c:marker>
                <c:xVal>
                  <c:numRef>
                    <c:extLst xmlns:c15="http://schemas.microsoft.com/office/drawing/2012/chart">
                      <c:ext xmlns:c15="http://schemas.microsoft.com/office/drawing/2012/chart" uri="{02D57815-91ED-43cb-92C2-25804820EDAC}">
                        <c15:formulaRef>
                          <c15:sqref>Plot_data_time!$AI$2:$AI$147</c15:sqref>
                        </c15:formulaRef>
                      </c:ext>
                    </c:extLst>
                    <c:numCache>
                      <c:formatCode>m/d/yy</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41671</c:v>
                      </c:pt>
                      <c:pt idx="13">
                        <c:v>#N/A</c:v>
                      </c:pt>
                      <c:pt idx="14">
                        <c:v>#N/A</c:v>
                      </c:pt>
                      <c:pt idx="15">
                        <c:v>#N/A</c:v>
                      </c:pt>
                      <c:pt idx="16">
                        <c:v>#N/A</c:v>
                      </c:pt>
                      <c:pt idx="17">
                        <c:v>#N/A</c:v>
                      </c:pt>
                      <c:pt idx="18">
                        <c:v>#N/A</c:v>
                      </c:pt>
                      <c:pt idx="19">
                        <c:v>#N/A</c:v>
                      </c:pt>
                      <c:pt idx="20">
                        <c:v>#N/A</c:v>
                      </c:pt>
                      <c:pt idx="21">
                        <c:v>#N/A</c:v>
                      </c:pt>
                      <c:pt idx="22">
                        <c:v>#N/A</c:v>
                      </c:pt>
                      <c:pt idx="23">
                        <c:v>42826</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43862</c:v>
                      </c:pt>
                      <c:pt idx="47">
                        <c:v>43862</c:v>
                      </c:pt>
                      <c:pt idx="48">
                        <c:v>43862</c:v>
                      </c:pt>
                      <c:pt idx="49">
                        <c:v>43862</c:v>
                      </c:pt>
                      <c:pt idx="50">
                        <c:v>43862</c:v>
                      </c:pt>
                      <c:pt idx="51">
                        <c:v>#N/A</c:v>
                      </c:pt>
                      <c:pt idx="52">
                        <c:v>#N/A</c:v>
                      </c:pt>
                      <c:pt idx="53">
                        <c:v>#N/A</c:v>
                      </c:pt>
                      <c:pt idx="54">
                        <c:v>#N/A</c:v>
                      </c:pt>
                      <c:pt idx="55">
                        <c:v>#N/A</c:v>
                      </c:pt>
                      <c:pt idx="56">
                        <c:v>#N/A</c:v>
                      </c:pt>
                      <c:pt idx="57">
                        <c:v>#N/A</c:v>
                      </c:pt>
                      <c:pt idx="58">
                        <c:v>#N/A</c:v>
                      </c:pt>
                      <c:pt idx="59">
                        <c:v>#N/A</c:v>
                      </c:pt>
                      <c:pt idx="60">
                        <c:v>#N/A</c:v>
                      </c:pt>
                      <c:pt idx="61">
                        <c:v>#N/A</c:v>
                      </c:pt>
                      <c:pt idx="62">
                        <c:v>#N/A</c:v>
                      </c:pt>
                      <c:pt idx="63">
                        <c:v>44228</c:v>
                      </c:pt>
                      <c:pt idx="64">
                        <c:v>#N/A</c:v>
                      </c:pt>
                      <c:pt idx="65">
                        <c:v>44228</c:v>
                      </c:pt>
                      <c:pt idx="66">
                        <c:v>44228</c:v>
                      </c:pt>
                      <c:pt idx="67">
                        <c:v>#N/A</c:v>
                      </c:pt>
                      <c:pt idx="68">
                        <c:v>#N/A</c:v>
                      </c:pt>
                      <c:pt idx="69">
                        <c:v>#N/A</c:v>
                      </c:pt>
                      <c:pt idx="70">
                        <c:v>#N/A</c:v>
                      </c:pt>
                      <c:pt idx="71">
                        <c:v>#N/A</c:v>
                      </c:pt>
                      <c:pt idx="72">
                        <c:v>#N/A</c:v>
                      </c:pt>
                      <c:pt idx="73">
                        <c:v>#N/A</c:v>
                      </c:pt>
                      <c:pt idx="74">
                        <c:v>#N/A</c:v>
                      </c:pt>
                      <c:pt idx="75">
                        <c:v>#N/A</c:v>
                      </c:pt>
                      <c:pt idx="76">
                        <c:v>#N/A</c:v>
                      </c:pt>
                      <c:pt idx="77">
                        <c:v>#N/A</c:v>
                      </c:pt>
                      <c:pt idx="78">
                        <c:v>44531</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44593</c:v>
                      </c:pt>
                      <c:pt idx="95">
                        <c:v>#N/A</c:v>
                      </c:pt>
                      <c:pt idx="96">
                        <c:v>#N/A</c:v>
                      </c:pt>
                      <c:pt idx="97">
                        <c:v>#N/A</c:v>
                      </c:pt>
                      <c:pt idx="98">
                        <c:v>#N/A</c:v>
                      </c:pt>
                      <c:pt idx="99">
                        <c:v>#N/A</c:v>
                      </c:pt>
                      <c:pt idx="100">
                        <c:v>#N/A</c:v>
                      </c:pt>
                      <c:pt idx="101">
                        <c:v>44713</c:v>
                      </c:pt>
                      <c:pt idx="102">
                        <c:v>#N/A</c:v>
                      </c:pt>
                      <c:pt idx="103">
                        <c:v>#N/A</c:v>
                      </c:pt>
                      <c:pt idx="104">
                        <c:v>#N/A</c:v>
                      </c:pt>
                      <c:pt idx="105">
                        <c:v>#N/A</c:v>
                      </c:pt>
                      <c:pt idx="106">
                        <c:v>44743</c:v>
                      </c:pt>
                      <c:pt idx="107">
                        <c:v>44743</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44958</c:v>
                      </c:pt>
                      <c:pt idx="132">
                        <c:v>#N/A</c:v>
                      </c:pt>
                      <c:pt idx="133">
                        <c:v>#N/A</c:v>
                      </c:pt>
                      <c:pt idx="134">
                        <c:v>44958</c:v>
                      </c:pt>
                      <c:pt idx="135">
                        <c:v>#N/A</c:v>
                      </c:pt>
                      <c:pt idx="136">
                        <c:v>#N/A</c:v>
                      </c:pt>
                      <c:pt idx="137">
                        <c:v>#N/A</c:v>
                      </c:pt>
                      <c:pt idx="138">
                        <c:v>#N/A</c:v>
                      </c:pt>
                      <c:pt idx="139">
                        <c:v>#N/A</c:v>
                      </c:pt>
                      <c:pt idx="140">
                        <c:v>#N/A</c:v>
                      </c:pt>
                      <c:pt idx="141">
                        <c:v>#N/A</c:v>
                      </c:pt>
                      <c:pt idx="142">
                        <c:v>#N/A</c:v>
                      </c:pt>
                      <c:pt idx="143">
                        <c:v>#N/A</c:v>
                      </c:pt>
                      <c:pt idx="144">
                        <c:v>#N/A</c:v>
                      </c:pt>
                      <c:pt idx="145">
                        <c:v>#N/A</c:v>
                      </c:pt>
                    </c:numCache>
                  </c:numRef>
                </c:xVal>
                <c:yVal>
                  <c:numRef>
                    <c:extLst xmlns:c15="http://schemas.microsoft.com/office/drawing/2012/chart">
                      <c:ext xmlns:c15="http://schemas.microsoft.com/office/drawing/2012/chart" uri="{02D57815-91ED-43cb-92C2-25804820EDAC}">
                        <c15:formulaRef>
                          <c15:sqref>Plot_data_time!$AL$2:$AL$147</c15:sqref>
                        </c15:formulaRef>
                      </c:ext>
                    </c:extLst>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xmlns:c15="http://schemas.microsoft.com/office/drawing/2012/chart">
                  <c:ext xmlns:c16="http://schemas.microsoft.com/office/drawing/2014/chart" uri="{C3380CC4-5D6E-409C-BE32-E72D297353CC}">
                    <c16:uniqueId val="{00000019-2C9B-4F81-8564-F87B50377741}"/>
                  </c:ext>
                </c:extLst>
              </c15:ser>
            </c15:filteredScatterSeries>
            <c15:filteredScatterSeries>
              <c15:ser>
                <c:idx val="23"/>
                <c:order val="23"/>
                <c:tx>
                  <c:v>Osc 50-75GHz</c:v>
                </c:tx>
                <c:spPr>
                  <a:ln w="2540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extLst xmlns:c15="http://schemas.microsoft.com/office/drawing/2012/chart">
                      <c:ext xmlns:c15="http://schemas.microsoft.com/office/drawing/2012/chart" uri="{02D57815-91ED-43cb-92C2-25804820EDAC}">
                        <c15:formulaRef>
                          <c15:sqref>Plot_data_time!$AI$2:$AI$147</c15:sqref>
                        </c15:formulaRef>
                      </c:ext>
                    </c:extLst>
                    <c:numCache>
                      <c:formatCode>m/d/yy</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41671</c:v>
                      </c:pt>
                      <c:pt idx="13">
                        <c:v>#N/A</c:v>
                      </c:pt>
                      <c:pt idx="14">
                        <c:v>#N/A</c:v>
                      </c:pt>
                      <c:pt idx="15">
                        <c:v>#N/A</c:v>
                      </c:pt>
                      <c:pt idx="16">
                        <c:v>#N/A</c:v>
                      </c:pt>
                      <c:pt idx="17">
                        <c:v>#N/A</c:v>
                      </c:pt>
                      <c:pt idx="18">
                        <c:v>#N/A</c:v>
                      </c:pt>
                      <c:pt idx="19">
                        <c:v>#N/A</c:v>
                      </c:pt>
                      <c:pt idx="20">
                        <c:v>#N/A</c:v>
                      </c:pt>
                      <c:pt idx="21">
                        <c:v>#N/A</c:v>
                      </c:pt>
                      <c:pt idx="22">
                        <c:v>#N/A</c:v>
                      </c:pt>
                      <c:pt idx="23">
                        <c:v>42826</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43862</c:v>
                      </c:pt>
                      <c:pt idx="47">
                        <c:v>43862</c:v>
                      </c:pt>
                      <c:pt idx="48">
                        <c:v>43862</c:v>
                      </c:pt>
                      <c:pt idx="49">
                        <c:v>43862</c:v>
                      </c:pt>
                      <c:pt idx="50">
                        <c:v>43862</c:v>
                      </c:pt>
                      <c:pt idx="51">
                        <c:v>#N/A</c:v>
                      </c:pt>
                      <c:pt idx="52">
                        <c:v>#N/A</c:v>
                      </c:pt>
                      <c:pt idx="53">
                        <c:v>#N/A</c:v>
                      </c:pt>
                      <c:pt idx="54">
                        <c:v>#N/A</c:v>
                      </c:pt>
                      <c:pt idx="55">
                        <c:v>#N/A</c:v>
                      </c:pt>
                      <c:pt idx="56">
                        <c:v>#N/A</c:v>
                      </c:pt>
                      <c:pt idx="57">
                        <c:v>#N/A</c:v>
                      </c:pt>
                      <c:pt idx="58">
                        <c:v>#N/A</c:v>
                      </c:pt>
                      <c:pt idx="59">
                        <c:v>#N/A</c:v>
                      </c:pt>
                      <c:pt idx="60">
                        <c:v>#N/A</c:v>
                      </c:pt>
                      <c:pt idx="61">
                        <c:v>#N/A</c:v>
                      </c:pt>
                      <c:pt idx="62">
                        <c:v>#N/A</c:v>
                      </c:pt>
                      <c:pt idx="63">
                        <c:v>44228</c:v>
                      </c:pt>
                      <c:pt idx="64">
                        <c:v>#N/A</c:v>
                      </c:pt>
                      <c:pt idx="65">
                        <c:v>44228</c:v>
                      </c:pt>
                      <c:pt idx="66">
                        <c:v>44228</c:v>
                      </c:pt>
                      <c:pt idx="67">
                        <c:v>#N/A</c:v>
                      </c:pt>
                      <c:pt idx="68">
                        <c:v>#N/A</c:v>
                      </c:pt>
                      <c:pt idx="69">
                        <c:v>#N/A</c:v>
                      </c:pt>
                      <c:pt idx="70">
                        <c:v>#N/A</c:v>
                      </c:pt>
                      <c:pt idx="71">
                        <c:v>#N/A</c:v>
                      </c:pt>
                      <c:pt idx="72">
                        <c:v>#N/A</c:v>
                      </c:pt>
                      <c:pt idx="73">
                        <c:v>#N/A</c:v>
                      </c:pt>
                      <c:pt idx="74">
                        <c:v>#N/A</c:v>
                      </c:pt>
                      <c:pt idx="75">
                        <c:v>#N/A</c:v>
                      </c:pt>
                      <c:pt idx="76">
                        <c:v>#N/A</c:v>
                      </c:pt>
                      <c:pt idx="77">
                        <c:v>#N/A</c:v>
                      </c:pt>
                      <c:pt idx="78">
                        <c:v>44531</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44593</c:v>
                      </c:pt>
                      <c:pt idx="95">
                        <c:v>#N/A</c:v>
                      </c:pt>
                      <c:pt idx="96">
                        <c:v>#N/A</c:v>
                      </c:pt>
                      <c:pt idx="97">
                        <c:v>#N/A</c:v>
                      </c:pt>
                      <c:pt idx="98">
                        <c:v>#N/A</c:v>
                      </c:pt>
                      <c:pt idx="99">
                        <c:v>#N/A</c:v>
                      </c:pt>
                      <c:pt idx="100">
                        <c:v>#N/A</c:v>
                      </c:pt>
                      <c:pt idx="101">
                        <c:v>44713</c:v>
                      </c:pt>
                      <c:pt idx="102">
                        <c:v>#N/A</c:v>
                      </c:pt>
                      <c:pt idx="103">
                        <c:v>#N/A</c:v>
                      </c:pt>
                      <c:pt idx="104">
                        <c:v>#N/A</c:v>
                      </c:pt>
                      <c:pt idx="105">
                        <c:v>#N/A</c:v>
                      </c:pt>
                      <c:pt idx="106">
                        <c:v>44743</c:v>
                      </c:pt>
                      <c:pt idx="107">
                        <c:v>44743</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44958</c:v>
                      </c:pt>
                      <c:pt idx="132">
                        <c:v>#N/A</c:v>
                      </c:pt>
                      <c:pt idx="133">
                        <c:v>#N/A</c:v>
                      </c:pt>
                      <c:pt idx="134">
                        <c:v>44958</c:v>
                      </c:pt>
                      <c:pt idx="135">
                        <c:v>#N/A</c:v>
                      </c:pt>
                      <c:pt idx="136">
                        <c:v>#N/A</c:v>
                      </c:pt>
                      <c:pt idx="137">
                        <c:v>#N/A</c:v>
                      </c:pt>
                      <c:pt idx="138">
                        <c:v>#N/A</c:v>
                      </c:pt>
                      <c:pt idx="139">
                        <c:v>#N/A</c:v>
                      </c:pt>
                      <c:pt idx="140">
                        <c:v>#N/A</c:v>
                      </c:pt>
                      <c:pt idx="141">
                        <c:v>#N/A</c:v>
                      </c:pt>
                      <c:pt idx="142">
                        <c:v>#N/A</c:v>
                      </c:pt>
                      <c:pt idx="143">
                        <c:v>#N/A</c:v>
                      </c:pt>
                      <c:pt idx="144">
                        <c:v>#N/A</c:v>
                      </c:pt>
                      <c:pt idx="145">
                        <c:v>#N/A</c:v>
                      </c:pt>
                    </c:numCache>
                  </c:numRef>
                </c:xVal>
                <c:yVal>
                  <c:numRef>
                    <c:extLst xmlns:c15="http://schemas.microsoft.com/office/drawing/2012/chart">
                      <c:ext xmlns:c15="http://schemas.microsoft.com/office/drawing/2012/chart" uri="{02D57815-91ED-43cb-92C2-25804820EDAC}">
                        <c15:formulaRef>
                          <c15:sqref>Plot_data_time!$AM$2:$AM$147</c15:sqref>
                        </c15:formulaRef>
                      </c:ext>
                    </c:extLst>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xmlns:c15="http://schemas.microsoft.com/office/drawing/2012/chart">
                  <c:ext xmlns:c16="http://schemas.microsoft.com/office/drawing/2014/chart" uri="{C3380CC4-5D6E-409C-BE32-E72D297353CC}">
                    <c16:uniqueId val="{0000001A-2C9B-4F81-8564-F87B50377741}"/>
                  </c:ext>
                </c:extLst>
              </c15:ser>
            </c15:filteredScatterSeries>
            <c15:filteredScatterSeries>
              <c15:ser>
                <c:idx val="24"/>
                <c:order val="24"/>
                <c:tx>
                  <c:v>Osc 75-110GHz</c:v>
                </c:tx>
                <c:spPr>
                  <a:ln w="25400" cap="rnd">
                    <a:no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xVal>
                  <c:numRef>
                    <c:extLst xmlns:c15="http://schemas.microsoft.com/office/drawing/2012/chart">
                      <c:ext xmlns:c15="http://schemas.microsoft.com/office/drawing/2012/chart" uri="{02D57815-91ED-43cb-92C2-25804820EDAC}">
                        <c15:formulaRef>
                          <c15:sqref>Plot_data_time!$AI$2:$AI$147</c15:sqref>
                        </c15:formulaRef>
                      </c:ext>
                    </c:extLst>
                    <c:numCache>
                      <c:formatCode>m/d/yy</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41671</c:v>
                      </c:pt>
                      <c:pt idx="13">
                        <c:v>#N/A</c:v>
                      </c:pt>
                      <c:pt idx="14">
                        <c:v>#N/A</c:v>
                      </c:pt>
                      <c:pt idx="15">
                        <c:v>#N/A</c:v>
                      </c:pt>
                      <c:pt idx="16">
                        <c:v>#N/A</c:v>
                      </c:pt>
                      <c:pt idx="17">
                        <c:v>#N/A</c:v>
                      </c:pt>
                      <c:pt idx="18">
                        <c:v>#N/A</c:v>
                      </c:pt>
                      <c:pt idx="19">
                        <c:v>#N/A</c:v>
                      </c:pt>
                      <c:pt idx="20">
                        <c:v>#N/A</c:v>
                      </c:pt>
                      <c:pt idx="21">
                        <c:v>#N/A</c:v>
                      </c:pt>
                      <c:pt idx="22">
                        <c:v>#N/A</c:v>
                      </c:pt>
                      <c:pt idx="23">
                        <c:v>42826</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43862</c:v>
                      </c:pt>
                      <c:pt idx="47">
                        <c:v>43862</c:v>
                      </c:pt>
                      <c:pt idx="48">
                        <c:v>43862</c:v>
                      </c:pt>
                      <c:pt idx="49">
                        <c:v>43862</c:v>
                      </c:pt>
                      <c:pt idx="50">
                        <c:v>43862</c:v>
                      </c:pt>
                      <c:pt idx="51">
                        <c:v>#N/A</c:v>
                      </c:pt>
                      <c:pt idx="52">
                        <c:v>#N/A</c:v>
                      </c:pt>
                      <c:pt idx="53">
                        <c:v>#N/A</c:v>
                      </c:pt>
                      <c:pt idx="54">
                        <c:v>#N/A</c:v>
                      </c:pt>
                      <c:pt idx="55">
                        <c:v>#N/A</c:v>
                      </c:pt>
                      <c:pt idx="56">
                        <c:v>#N/A</c:v>
                      </c:pt>
                      <c:pt idx="57">
                        <c:v>#N/A</c:v>
                      </c:pt>
                      <c:pt idx="58">
                        <c:v>#N/A</c:v>
                      </c:pt>
                      <c:pt idx="59">
                        <c:v>#N/A</c:v>
                      </c:pt>
                      <c:pt idx="60">
                        <c:v>#N/A</c:v>
                      </c:pt>
                      <c:pt idx="61">
                        <c:v>#N/A</c:v>
                      </c:pt>
                      <c:pt idx="62">
                        <c:v>#N/A</c:v>
                      </c:pt>
                      <c:pt idx="63">
                        <c:v>44228</c:v>
                      </c:pt>
                      <c:pt idx="64">
                        <c:v>#N/A</c:v>
                      </c:pt>
                      <c:pt idx="65">
                        <c:v>44228</c:v>
                      </c:pt>
                      <c:pt idx="66">
                        <c:v>44228</c:v>
                      </c:pt>
                      <c:pt idx="67">
                        <c:v>#N/A</c:v>
                      </c:pt>
                      <c:pt idx="68">
                        <c:v>#N/A</c:v>
                      </c:pt>
                      <c:pt idx="69">
                        <c:v>#N/A</c:v>
                      </c:pt>
                      <c:pt idx="70">
                        <c:v>#N/A</c:v>
                      </c:pt>
                      <c:pt idx="71">
                        <c:v>#N/A</c:v>
                      </c:pt>
                      <c:pt idx="72">
                        <c:v>#N/A</c:v>
                      </c:pt>
                      <c:pt idx="73">
                        <c:v>#N/A</c:v>
                      </c:pt>
                      <c:pt idx="74">
                        <c:v>#N/A</c:v>
                      </c:pt>
                      <c:pt idx="75">
                        <c:v>#N/A</c:v>
                      </c:pt>
                      <c:pt idx="76">
                        <c:v>#N/A</c:v>
                      </c:pt>
                      <c:pt idx="77">
                        <c:v>#N/A</c:v>
                      </c:pt>
                      <c:pt idx="78">
                        <c:v>44531</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44593</c:v>
                      </c:pt>
                      <c:pt idx="95">
                        <c:v>#N/A</c:v>
                      </c:pt>
                      <c:pt idx="96">
                        <c:v>#N/A</c:v>
                      </c:pt>
                      <c:pt idx="97">
                        <c:v>#N/A</c:v>
                      </c:pt>
                      <c:pt idx="98">
                        <c:v>#N/A</c:v>
                      </c:pt>
                      <c:pt idx="99">
                        <c:v>#N/A</c:v>
                      </c:pt>
                      <c:pt idx="100">
                        <c:v>#N/A</c:v>
                      </c:pt>
                      <c:pt idx="101">
                        <c:v>44713</c:v>
                      </c:pt>
                      <c:pt idx="102">
                        <c:v>#N/A</c:v>
                      </c:pt>
                      <c:pt idx="103">
                        <c:v>#N/A</c:v>
                      </c:pt>
                      <c:pt idx="104">
                        <c:v>#N/A</c:v>
                      </c:pt>
                      <c:pt idx="105">
                        <c:v>#N/A</c:v>
                      </c:pt>
                      <c:pt idx="106">
                        <c:v>44743</c:v>
                      </c:pt>
                      <c:pt idx="107">
                        <c:v>44743</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44958</c:v>
                      </c:pt>
                      <c:pt idx="132">
                        <c:v>#N/A</c:v>
                      </c:pt>
                      <c:pt idx="133">
                        <c:v>#N/A</c:v>
                      </c:pt>
                      <c:pt idx="134">
                        <c:v>44958</c:v>
                      </c:pt>
                      <c:pt idx="135">
                        <c:v>#N/A</c:v>
                      </c:pt>
                      <c:pt idx="136">
                        <c:v>#N/A</c:v>
                      </c:pt>
                      <c:pt idx="137">
                        <c:v>#N/A</c:v>
                      </c:pt>
                      <c:pt idx="138">
                        <c:v>#N/A</c:v>
                      </c:pt>
                      <c:pt idx="139">
                        <c:v>#N/A</c:v>
                      </c:pt>
                      <c:pt idx="140">
                        <c:v>#N/A</c:v>
                      </c:pt>
                      <c:pt idx="141">
                        <c:v>#N/A</c:v>
                      </c:pt>
                      <c:pt idx="142">
                        <c:v>#N/A</c:v>
                      </c:pt>
                      <c:pt idx="143">
                        <c:v>#N/A</c:v>
                      </c:pt>
                      <c:pt idx="144">
                        <c:v>#N/A</c:v>
                      </c:pt>
                      <c:pt idx="145">
                        <c:v>#N/A</c:v>
                      </c:pt>
                    </c:numCache>
                  </c:numRef>
                </c:xVal>
                <c:yVal>
                  <c:numRef>
                    <c:extLst xmlns:c15="http://schemas.microsoft.com/office/drawing/2012/chart">
                      <c:ext xmlns:c15="http://schemas.microsoft.com/office/drawing/2012/chart" uri="{02D57815-91ED-43cb-92C2-25804820EDAC}">
                        <c15:formulaRef>
                          <c15:sqref>Plot_data_time!$AN$2:$AN$147</c15:sqref>
                        </c15:formulaRef>
                      </c:ext>
                    </c:extLst>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xmlns:c15="http://schemas.microsoft.com/office/drawing/2012/chart">
                  <c:ext xmlns:c16="http://schemas.microsoft.com/office/drawing/2014/chart" uri="{C3380CC4-5D6E-409C-BE32-E72D297353CC}">
                    <c16:uniqueId val="{0000001B-2C9B-4F81-8564-F87B50377741}"/>
                  </c:ext>
                </c:extLst>
              </c15:ser>
            </c15:filteredScatterSeries>
            <c15:filteredScatterSeries>
              <c15:ser>
                <c:idx val="25"/>
                <c:order val="25"/>
                <c:tx>
                  <c:v>Osc 110-170GHz</c:v>
                </c:tx>
                <c:spPr>
                  <a:ln w="25400" cap="rnd">
                    <a:no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xVal>
                  <c:numRef>
                    <c:extLst xmlns:c15="http://schemas.microsoft.com/office/drawing/2012/chart">
                      <c:ext xmlns:c15="http://schemas.microsoft.com/office/drawing/2012/chart" uri="{02D57815-91ED-43cb-92C2-25804820EDAC}">
                        <c15:formulaRef>
                          <c15:sqref>Plot_data_time!$AI$2:$AI$147</c15:sqref>
                        </c15:formulaRef>
                      </c:ext>
                    </c:extLst>
                    <c:numCache>
                      <c:formatCode>m/d/yy</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41671</c:v>
                      </c:pt>
                      <c:pt idx="13">
                        <c:v>#N/A</c:v>
                      </c:pt>
                      <c:pt idx="14">
                        <c:v>#N/A</c:v>
                      </c:pt>
                      <c:pt idx="15">
                        <c:v>#N/A</c:v>
                      </c:pt>
                      <c:pt idx="16">
                        <c:v>#N/A</c:v>
                      </c:pt>
                      <c:pt idx="17">
                        <c:v>#N/A</c:v>
                      </c:pt>
                      <c:pt idx="18">
                        <c:v>#N/A</c:v>
                      </c:pt>
                      <c:pt idx="19">
                        <c:v>#N/A</c:v>
                      </c:pt>
                      <c:pt idx="20">
                        <c:v>#N/A</c:v>
                      </c:pt>
                      <c:pt idx="21">
                        <c:v>#N/A</c:v>
                      </c:pt>
                      <c:pt idx="22">
                        <c:v>#N/A</c:v>
                      </c:pt>
                      <c:pt idx="23">
                        <c:v>42826</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43862</c:v>
                      </c:pt>
                      <c:pt idx="47">
                        <c:v>43862</c:v>
                      </c:pt>
                      <c:pt idx="48">
                        <c:v>43862</c:v>
                      </c:pt>
                      <c:pt idx="49">
                        <c:v>43862</c:v>
                      </c:pt>
                      <c:pt idx="50">
                        <c:v>43862</c:v>
                      </c:pt>
                      <c:pt idx="51">
                        <c:v>#N/A</c:v>
                      </c:pt>
                      <c:pt idx="52">
                        <c:v>#N/A</c:v>
                      </c:pt>
                      <c:pt idx="53">
                        <c:v>#N/A</c:v>
                      </c:pt>
                      <c:pt idx="54">
                        <c:v>#N/A</c:v>
                      </c:pt>
                      <c:pt idx="55">
                        <c:v>#N/A</c:v>
                      </c:pt>
                      <c:pt idx="56">
                        <c:v>#N/A</c:v>
                      </c:pt>
                      <c:pt idx="57">
                        <c:v>#N/A</c:v>
                      </c:pt>
                      <c:pt idx="58">
                        <c:v>#N/A</c:v>
                      </c:pt>
                      <c:pt idx="59">
                        <c:v>#N/A</c:v>
                      </c:pt>
                      <c:pt idx="60">
                        <c:v>#N/A</c:v>
                      </c:pt>
                      <c:pt idx="61">
                        <c:v>#N/A</c:v>
                      </c:pt>
                      <c:pt idx="62">
                        <c:v>#N/A</c:v>
                      </c:pt>
                      <c:pt idx="63">
                        <c:v>44228</c:v>
                      </c:pt>
                      <c:pt idx="64">
                        <c:v>#N/A</c:v>
                      </c:pt>
                      <c:pt idx="65">
                        <c:v>44228</c:v>
                      </c:pt>
                      <c:pt idx="66">
                        <c:v>44228</c:v>
                      </c:pt>
                      <c:pt idx="67">
                        <c:v>#N/A</c:v>
                      </c:pt>
                      <c:pt idx="68">
                        <c:v>#N/A</c:v>
                      </c:pt>
                      <c:pt idx="69">
                        <c:v>#N/A</c:v>
                      </c:pt>
                      <c:pt idx="70">
                        <c:v>#N/A</c:v>
                      </c:pt>
                      <c:pt idx="71">
                        <c:v>#N/A</c:v>
                      </c:pt>
                      <c:pt idx="72">
                        <c:v>#N/A</c:v>
                      </c:pt>
                      <c:pt idx="73">
                        <c:v>#N/A</c:v>
                      </c:pt>
                      <c:pt idx="74">
                        <c:v>#N/A</c:v>
                      </c:pt>
                      <c:pt idx="75">
                        <c:v>#N/A</c:v>
                      </c:pt>
                      <c:pt idx="76">
                        <c:v>#N/A</c:v>
                      </c:pt>
                      <c:pt idx="77">
                        <c:v>#N/A</c:v>
                      </c:pt>
                      <c:pt idx="78">
                        <c:v>44531</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44593</c:v>
                      </c:pt>
                      <c:pt idx="95">
                        <c:v>#N/A</c:v>
                      </c:pt>
                      <c:pt idx="96">
                        <c:v>#N/A</c:v>
                      </c:pt>
                      <c:pt idx="97">
                        <c:v>#N/A</c:v>
                      </c:pt>
                      <c:pt idx="98">
                        <c:v>#N/A</c:v>
                      </c:pt>
                      <c:pt idx="99">
                        <c:v>#N/A</c:v>
                      </c:pt>
                      <c:pt idx="100">
                        <c:v>#N/A</c:v>
                      </c:pt>
                      <c:pt idx="101">
                        <c:v>44713</c:v>
                      </c:pt>
                      <c:pt idx="102">
                        <c:v>#N/A</c:v>
                      </c:pt>
                      <c:pt idx="103">
                        <c:v>#N/A</c:v>
                      </c:pt>
                      <c:pt idx="104">
                        <c:v>#N/A</c:v>
                      </c:pt>
                      <c:pt idx="105">
                        <c:v>#N/A</c:v>
                      </c:pt>
                      <c:pt idx="106">
                        <c:v>44743</c:v>
                      </c:pt>
                      <c:pt idx="107">
                        <c:v>44743</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44958</c:v>
                      </c:pt>
                      <c:pt idx="132">
                        <c:v>#N/A</c:v>
                      </c:pt>
                      <c:pt idx="133">
                        <c:v>#N/A</c:v>
                      </c:pt>
                      <c:pt idx="134">
                        <c:v>44958</c:v>
                      </c:pt>
                      <c:pt idx="135">
                        <c:v>#N/A</c:v>
                      </c:pt>
                      <c:pt idx="136">
                        <c:v>#N/A</c:v>
                      </c:pt>
                      <c:pt idx="137">
                        <c:v>#N/A</c:v>
                      </c:pt>
                      <c:pt idx="138">
                        <c:v>#N/A</c:v>
                      </c:pt>
                      <c:pt idx="139">
                        <c:v>#N/A</c:v>
                      </c:pt>
                      <c:pt idx="140">
                        <c:v>#N/A</c:v>
                      </c:pt>
                      <c:pt idx="141">
                        <c:v>#N/A</c:v>
                      </c:pt>
                      <c:pt idx="142">
                        <c:v>#N/A</c:v>
                      </c:pt>
                      <c:pt idx="143">
                        <c:v>#N/A</c:v>
                      </c:pt>
                      <c:pt idx="144">
                        <c:v>#N/A</c:v>
                      </c:pt>
                      <c:pt idx="145">
                        <c:v>#N/A</c:v>
                      </c:pt>
                    </c:numCache>
                  </c:numRef>
                </c:xVal>
                <c:yVal>
                  <c:numRef>
                    <c:extLst xmlns:c15="http://schemas.microsoft.com/office/drawing/2012/chart">
                      <c:ext xmlns:c15="http://schemas.microsoft.com/office/drawing/2012/chart" uri="{02D57815-91ED-43cb-92C2-25804820EDAC}">
                        <c15:formulaRef>
                          <c15:sqref>Plot_data_time!$AO$2:$AO$147</c15:sqref>
                        </c15:formulaRef>
                      </c:ext>
                    </c:extLst>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xmlns:c15="http://schemas.microsoft.com/office/drawing/2012/chart">
                  <c:ext xmlns:c16="http://schemas.microsoft.com/office/drawing/2014/chart" uri="{C3380CC4-5D6E-409C-BE32-E72D297353CC}">
                    <c16:uniqueId val="{0000001C-2C9B-4F81-8564-F87B50377741}"/>
                  </c:ext>
                </c:extLst>
              </c15:ser>
            </c15:filteredScatterSeries>
            <c15:filteredScatterSeries>
              <c15:ser>
                <c:idx val="26"/>
                <c:order val="26"/>
                <c:tx>
                  <c:v>Osc 170-260GHz</c:v>
                </c:tx>
                <c:spPr>
                  <a:ln w="25400" cap="rnd">
                    <a:no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xVal>
                  <c:numRef>
                    <c:extLst xmlns:c15="http://schemas.microsoft.com/office/drawing/2012/chart">
                      <c:ext xmlns:c15="http://schemas.microsoft.com/office/drawing/2012/chart" uri="{02D57815-91ED-43cb-92C2-25804820EDAC}">
                        <c15:formulaRef>
                          <c15:sqref>Plot_data_time!$AI$2:$AI$147</c15:sqref>
                        </c15:formulaRef>
                      </c:ext>
                    </c:extLst>
                    <c:numCache>
                      <c:formatCode>m/d/yy</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41671</c:v>
                      </c:pt>
                      <c:pt idx="13">
                        <c:v>#N/A</c:v>
                      </c:pt>
                      <c:pt idx="14">
                        <c:v>#N/A</c:v>
                      </c:pt>
                      <c:pt idx="15">
                        <c:v>#N/A</c:v>
                      </c:pt>
                      <c:pt idx="16">
                        <c:v>#N/A</c:v>
                      </c:pt>
                      <c:pt idx="17">
                        <c:v>#N/A</c:v>
                      </c:pt>
                      <c:pt idx="18">
                        <c:v>#N/A</c:v>
                      </c:pt>
                      <c:pt idx="19">
                        <c:v>#N/A</c:v>
                      </c:pt>
                      <c:pt idx="20">
                        <c:v>#N/A</c:v>
                      </c:pt>
                      <c:pt idx="21">
                        <c:v>#N/A</c:v>
                      </c:pt>
                      <c:pt idx="22">
                        <c:v>#N/A</c:v>
                      </c:pt>
                      <c:pt idx="23">
                        <c:v>42826</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43862</c:v>
                      </c:pt>
                      <c:pt idx="47">
                        <c:v>43862</c:v>
                      </c:pt>
                      <c:pt idx="48">
                        <c:v>43862</c:v>
                      </c:pt>
                      <c:pt idx="49">
                        <c:v>43862</c:v>
                      </c:pt>
                      <c:pt idx="50">
                        <c:v>43862</c:v>
                      </c:pt>
                      <c:pt idx="51">
                        <c:v>#N/A</c:v>
                      </c:pt>
                      <c:pt idx="52">
                        <c:v>#N/A</c:v>
                      </c:pt>
                      <c:pt idx="53">
                        <c:v>#N/A</c:v>
                      </c:pt>
                      <c:pt idx="54">
                        <c:v>#N/A</c:v>
                      </c:pt>
                      <c:pt idx="55">
                        <c:v>#N/A</c:v>
                      </c:pt>
                      <c:pt idx="56">
                        <c:v>#N/A</c:v>
                      </c:pt>
                      <c:pt idx="57">
                        <c:v>#N/A</c:v>
                      </c:pt>
                      <c:pt idx="58">
                        <c:v>#N/A</c:v>
                      </c:pt>
                      <c:pt idx="59">
                        <c:v>#N/A</c:v>
                      </c:pt>
                      <c:pt idx="60">
                        <c:v>#N/A</c:v>
                      </c:pt>
                      <c:pt idx="61">
                        <c:v>#N/A</c:v>
                      </c:pt>
                      <c:pt idx="62">
                        <c:v>#N/A</c:v>
                      </c:pt>
                      <c:pt idx="63">
                        <c:v>44228</c:v>
                      </c:pt>
                      <c:pt idx="64">
                        <c:v>#N/A</c:v>
                      </c:pt>
                      <c:pt idx="65">
                        <c:v>44228</c:v>
                      </c:pt>
                      <c:pt idx="66">
                        <c:v>44228</c:v>
                      </c:pt>
                      <c:pt idx="67">
                        <c:v>#N/A</c:v>
                      </c:pt>
                      <c:pt idx="68">
                        <c:v>#N/A</c:v>
                      </c:pt>
                      <c:pt idx="69">
                        <c:v>#N/A</c:v>
                      </c:pt>
                      <c:pt idx="70">
                        <c:v>#N/A</c:v>
                      </c:pt>
                      <c:pt idx="71">
                        <c:v>#N/A</c:v>
                      </c:pt>
                      <c:pt idx="72">
                        <c:v>#N/A</c:v>
                      </c:pt>
                      <c:pt idx="73">
                        <c:v>#N/A</c:v>
                      </c:pt>
                      <c:pt idx="74">
                        <c:v>#N/A</c:v>
                      </c:pt>
                      <c:pt idx="75">
                        <c:v>#N/A</c:v>
                      </c:pt>
                      <c:pt idx="76">
                        <c:v>#N/A</c:v>
                      </c:pt>
                      <c:pt idx="77">
                        <c:v>#N/A</c:v>
                      </c:pt>
                      <c:pt idx="78">
                        <c:v>44531</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44593</c:v>
                      </c:pt>
                      <c:pt idx="95">
                        <c:v>#N/A</c:v>
                      </c:pt>
                      <c:pt idx="96">
                        <c:v>#N/A</c:v>
                      </c:pt>
                      <c:pt idx="97">
                        <c:v>#N/A</c:v>
                      </c:pt>
                      <c:pt idx="98">
                        <c:v>#N/A</c:v>
                      </c:pt>
                      <c:pt idx="99">
                        <c:v>#N/A</c:v>
                      </c:pt>
                      <c:pt idx="100">
                        <c:v>#N/A</c:v>
                      </c:pt>
                      <c:pt idx="101">
                        <c:v>44713</c:v>
                      </c:pt>
                      <c:pt idx="102">
                        <c:v>#N/A</c:v>
                      </c:pt>
                      <c:pt idx="103">
                        <c:v>#N/A</c:v>
                      </c:pt>
                      <c:pt idx="104">
                        <c:v>#N/A</c:v>
                      </c:pt>
                      <c:pt idx="105">
                        <c:v>#N/A</c:v>
                      </c:pt>
                      <c:pt idx="106">
                        <c:v>44743</c:v>
                      </c:pt>
                      <c:pt idx="107">
                        <c:v>44743</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44958</c:v>
                      </c:pt>
                      <c:pt idx="132">
                        <c:v>#N/A</c:v>
                      </c:pt>
                      <c:pt idx="133">
                        <c:v>#N/A</c:v>
                      </c:pt>
                      <c:pt idx="134">
                        <c:v>44958</c:v>
                      </c:pt>
                      <c:pt idx="135">
                        <c:v>#N/A</c:v>
                      </c:pt>
                      <c:pt idx="136">
                        <c:v>#N/A</c:v>
                      </c:pt>
                      <c:pt idx="137">
                        <c:v>#N/A</c:v>
                      </c:pt>
                      <c:pt idx="138">
                        <c:v>#N/A</c:v>
                      </c:pt>
                      <c:pt idx="139">
                        <c:v>#N/A</c:v>
                      </c:pt>
                      <c:pt idx="140">
                        <c:v>#N/A</c:v>
                      </c:pt>
                      <c:pt idx="141">
                        <c:v>#N/A</c:v>
                      </c:pt>
                      <c:pt idx="142">
                        <c:v>#N/A</c:v>
                      </c:pt>
                      <c:pt idx="143">
                        <c:v>#N/A</c:v>
                      </c:pt>
                      <c:pt idx="144">
                        <c:v>#N/A</c:v>
                      </c:pt>
                      <c:pt idx="145">
                        <c:v>#N/A</c:v>
                      </c:pt>
                    </c:numCache>
                  </c:numRef>
                </c:xVal>
                <c:yVal>
                  <c:numRef>
                    <c:extLst xmlns:c15="http://schemas.microsoft.com/office/drawing/2012/chart">
                      <c:ext xmlns:c15="http://schemas.microsoft.com/office/drawing/2012/chart" uri="{02D57815-91ED-43cb-92C2-25804820EDAC}">
                        <c15:formulaRef>
                          <c15:sqref>Plot_data_time!$AP$2:$AP$147</c15:sqref>
                        </c15:formulaRef>
                      </c:ext>
                    </c:extLst>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1</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xmlns:c15="http://schemas.microsoft.com/office/drawing/2012/chart">
                  <c:ext xmlns:c16="http://schemas.microsoft.com/office/drawing/2014/chart" uri="{C3380CC4-5D6E-409C-BE32-E72D297353CC}">
                    <c16:uniqueId val="{0000001D-2C9B-4F81-8564-F87B50377741}"/>
                  </c:ext>
                </c:extLst>
              </c15:ser>
            </c15:filteredScatterSeries>
          </c:ext>
        </c:extLst>
      </c:scatterChart>
      <c:valAx>
        <c:axId val="249305247"/>
        <c:scaling>
          <c:orientation val="minMax"/>
        </c:scaling>
        <c:delete val="0"/>
        <c:axPos val="b"/>
        <c:majorGridlines>
          <c:spPr>
            <a:ln w="158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Year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yyyy"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087183"/>
        <c:crosses val="autoZero"/>
        <c:crossBetween val="midCat"/>
      </c:valAx>
      <c:valAx>
        <c:axId val="249087183"/>
        <c:scaling>
          <c:logBase val="10"/>
          <c:orientation val="minMax"/>
        </c:scaling>
        <c:delete val="0"/>
        <c:axPos val="l"/>
        <c:majorGridlines>
          <c:spPr>
            <a:ln w="158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Total Array Size</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305247"/>
        <c:crosses val="autoZero"/>
        <c:crossBetween val="midCat"/>
      </c:valAx>
      <c:spPr>
        <a:noFill/>
        <a:ln w="25400">
          <a:solidFill>
            <a:schemeClr val="tx1"/>
          </a:solidFill>
        </a:ln>
        <a:effectLst/>
      </c:spPr>
    </c:plotArea>
    <c:legend>
      <c:legendPos val="r"/>
      <c:layout>
        <c:manualLayout>
          <c:xMode val="edge"/>
          <c:yMode val="edge"/>
          <c:x val="0.67099801341688048"/>
          <c:y val="0.10522546067591725"/>
          <c:w val="0.32900198658311958"/>
          <c:h val="0.89477453932408268"/>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r>
              <a:rPr lang="en-US"/>
              <a:t>#</a:t>
            </a:r>
            <a:r>
              <a:rPr lang="en-US" baseline="0"/>
              <a:t> of Elements per IC</a:t>
            </a:r>
            <a:endParaRPr lang="en-US"/>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endParaRPr lang="en-CH"/>
        </a:p>
      </c:txPr>
    </c:title>
    <c:autoTitleDeleted val="0"/>
    <c:plotArea>
      <c:layout>
        <c:manualLayout>
          <c:layoutTarget val="inner"/>
          <c:xMode val="edge"/>
          <c:yMode val="edge"/>
          <c:x val="0.14921300160060638"/>
          <c:y val="0.1655132371066812"/>
          <c:w val="0.72356958711379349"/>
          <c:h val="0.62126968928366488"/>
        </c:manualLayout>
      </c:layout>
      <c:scatterChart>
        <c:scatterStyle val="lineMarker"/>
        <c:varyColors val="0"/>
        <c:ser>
          <c:idx val="0"/>
          <c:order val="0"/>
          <c:tx>
            <c:v>TX</c:v>
          </c:tx>
          <c:spPr>
            <a:ln w="25400" cap="rnd">
              <a:noFill/>
              <a:round/>
            </a:ln>
            <a:effectLst/>
          </c:spPr>
          <c:marker>
            <c:symbol val="circle"/>
            <c:size val="7"/>
            <c:spPr>
              <a:solidFill>
                <a:srgbClr val="FF0000">
                  <a:alpha val="50000"/>
                </a:srgbClr>
              </a:solidFill>
              <a:ln w="9525">
                <a:no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Plot_Data_Integration!$B$2:$B$147</c:f>
              <c:numCache>
                <c:formatCode>General</c:formatCode>
                <c:ptCount val="146"/>
                <c:pt idx="0">
                  <c:v>16</c:v>
                </c:pt>
                <c:pt idx="1">
                  <c:v>#N/A</c:v>
                </c:pt>
                <c:pt idx="2">
                  <c:v>#N/A</c:v>
                </c:pt>
                <c:pt idx="3">
                  <c:v>#N/A</c:v>
                </c:pt>
                <c:pt idx="4">
                  <c:v>16</c:v>
                </c:pt>
                <c:pt idx="5">
                  <c:v>#N/A</c:v>
                </c:pt>
                <c:pt idx="6">
                  <c:v>#N/A</c:v>
                </c:pt>
                <c:pt idx="7">
                  <c:v>#N/A</c:v>
                </c:pt>
                <c:pt idx="8">
                  <c:v>#N/A</c:v>
                </c:pt>
                <c:pt idx="9">
                  <c:v>#N/A</c:v>
                </c:pt>
                <c:pt idx="10">
                  <c:v>#N/A</c:v>
                </c:pt>
                <c:pt idx="11">
                  <c:v>#N/A</c:v>
                </c:pt>
                <c:pt idx="12">
                  <c:v>#N/A</c:v>
                </c:pt>
                <c:pt idx="13">
                  <c:v>#N/A</c:v>
                </c:pt>
                <c:pt idx="14">
                  <c:v>#N/A</c:v>
                </c:pt>
                <c:pt idx="15">
                  <c:v>#N/A</c:v>
                </c:pt>
                <c:pt idx="16">
                  <c:v>#N/A</c:v>
                </c:pt>
                <c:pt idx="17">
                  <c:v>8</c:v>
                </c:pt>
                <c:pt idx="18">
                  <c:v>64</c:v>
                </c:pt>
                <c:pt idx="19">
                  <c:v>64</c:v>
                </c:pt>
                <c:pt idx="20">
                  <c:v>#N/A</c:v>
                </c:pt>
                <c:pt idx="21">
                  <c:v>1</c:v>
                </c:pt>
                <c:pt idx="22">
                  <c:v>#N/A</c:v>
                </c:pt>
                <c:pt idx="23">
                  <c:v>#N/A</c:v>
                </c:pt>
                <c:pt idx="24">
                  <c:v>#N/A</c:v>
                </c:pt>
                <c:pt idx="25">
                  <c:v>#N/A</c:v>
                </c:pt>
                <c:pt idx="26">
                  <c:v>#N/A</c:v>
                </c:pt>
                <c:pt idx="27">
                  <c:v>#N/A</c:v>
                </c:pt>
                <c:pt idx="28">
                  <c:v>#N/A</c:v>
                </c:pt>
                <c:pt idx="29">
                  <c:v>#N/A</c:v>
                </c:pt>
                <c:pt idx="30">
                  <c:v>#N/A</c:v>
                </c:pt>
                <c:pt idx="31">
                  <c:v>#N/A</c:v>
                </c:pt>
                <c:pt idx="32">
                  <c:v>#N/A</c:v>
                </c:pt>
                <c:pt idx="33">
                  <c:v>#N/A</c:v>
                </c:pt>
                <c:pt idx="34">
                  <c:v>16</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1</c:v>
                </c:pt>
                <c:pt idx="56">
                  <c:v>1</c:v>
                </c:pt>
                <c:pt idx="57">
                  <c:v>#N/A</c:v>
                </c:pt>
                <c:pt idx="58">
                  <c:v>#N/A</c:v>
                </c:pt>
                <c:pt idx="59">
                  <c:v>#N/A</c:v>
                </c:pt>
                <c:pt idx="60">
                  <c:v>#N/A</c:v>
                </c:pt>
                <c:pt idx="61">
                  <c:v>1</c:v>
                </c:pt>
                <c:pt idx="62">
                  <c:v>#N/A</c:v>
                </c:pt>
                <c:pt idx="63">
                  <c:v>#N/A</c:v>
                </c:pt>
                <c:pt idx="64">
                  <c:v>#N/A</c:v>
                </c:pt>
                <c:pt idx="65">
                  <c:v>#N/A</c:v>
                </c:pt>
                <c:pt idx="66">
                  <c:v>#N/A</c:v>
                </c:pt>
                <c:pt idx="67">
                  <c:v>#N/A</c:v>
                </c:pt>
                <c:pt idx="68">
                  <c:v>1</c:v>
                </c:pt>
                <c:pt idx="69">
                  <c:v>#N/A</c:v>
                </c:pt>
                <c:pt idx="70">
                  <c:v>4</c:v>
                </c:pt>
                <c:pt idx="71">
                  <c:v>#N/A</c:v>
                </c:pt>
                <c:pt idx="72">
                  <c:v>#N/A</c:v>
                </c:pt>
                <c:pt idx="73">
                  <c:v>#N/A</c:v>
                </c:pt>
                <c:pt idx="74">
                  <c:v>#N/A</c:v>
                </c:pt>
                <c:pt idx="75">
                  <c:v>#N/A</c:v>
                </c:pt>
                <c:pt idx="76">
                  <c:v>4</c:v>
                </c:pt>
                <c:pt idx="77">
                  <c:v>#N/A</c:v>
                </c:pt>
                <c:pt idx="78">
                  <c:v>#N/A</c:v>
                </c:pt>
                <c:pt idx="79">
                  <c:v>8</c:v>
                </c:pt>
                <c:pt idx="80">
                  <c:v>4</c:v>
                </c:pt>
                <c:pt idx="81">
                  <c:v>4</c:v>
                </c:pt>
                <c:pt idx="82">
                  <c:v>4</c:v>
                </c:pt>
                <c:pt idx="83">
                  <c:v>#N/A</c:v>
                </c:pt>
                <c:pt idx="84">
                  <c:v>#N/A</c:v>
                </c:pt>
                <c:pt idx="85">
                  <c:v>#N/A</c:v>
                </c:pt>
                <c:pt idx="86">
                  <c:v>#N/A</c:v>
                </c:pt>
                <c:pt idx="87">
                  <c:v>8</c:v>
                </c:pt>
                <c:pt idx="88">
                  <c:v>#N/A</c:v>
                </c:pt>
                <c:pt idx="89">
                  <c:v>#N/A</c:v>
                </c:pt>
                <c:pt idx="90">
                  <c:v>#N/A</c:v>
                </c:pt>
                <c:pt idx="91">
                  <c:v>#N/A</c:v>
                </c:pt>
                <c:pt idx="92">
                  <c:v>#N/A</c:v>
                </c:pt>
                <c:pt idx="93">
                  <c:v>#N/A</c:v>
                </c:pt>
                <c:pt idx="94">
                  <c:v>#N/A</c:v>
                </c:pt>
                <c:pt idx="95">
                  <c:v>1</c:v>
                </c:pt>
                <c:pt idx="96">
                  <c:v>8</c:v>
                </c:pt>
                <c:pt idx="97">
                  <c:v>#N/A</c:v>
                </c:pt>
                <c:pt idx="98">
                  <c:v>4</c:v>
                </c:pt>
                <c:pt idx="99">
                  <c:v>#N/A</c:v>
                </c:pt>
                <c:pt idx="100">
                  <c:v>#N/A</c:v>
                </c:pt>
                <c:pt idx="101">
                  <c:v>#N/A</c:v>
                </c:pt>
                <c:pt idx="102">
                  <c:v>8</c:v>
                </c:pt>
                <c:pt idx="103">
                  <c:v>#N/A</c:v>
                </c:pt>
                <c:pt idx="104">
                  <c:v>#N/A</c:v>
                </c:pt>
                <c:pt idx="105">
                  <c:v>4</c:v>
                </c:pt>
                <c:pt idx="106">
                  <c:v>#N/A</c:v>
                </c:pt>
                <c:pt idx="107">
                  <c:v>#N/A</c:v>
                </c:pt>
                <c:pt idx="108">
                  <c:v>4</c:v>
                </c:pt>
                <c:pt idx="109">
                  <c:v>#N/A</c:v>
                </c:pt>
                <c:pt idx="110">
                  <c:v>#N/A</c:v>
                </c:pt>
                <c:pt idx="111">
                  <c:v>4</c:v>
                </c:pt>
                <c:pt idx="112">
                  <c:v>#N/A</c:v>
                </c:pt>
                <c:pt idx="113">
                  <c:v>#N/A</c:v>
                </c:pt>
                <c:pt idx="114">
                  <c:v>#N/A</c:v>
                </c:pt>
                <c:pt idx="115">
                  <c:v>4</c:v>
                </c:pt>
                <c:pt idx="116">
                  <c:v>#N/A</c:v>
                </c:pt>
                <c:pt idx="117">
                  <c:v>#N/A</c:v>
                </c:pt>
                <c:pt idx="118">
                  <c:v>#N/A</c:v>
                </c:pt>
                <c:pt idx="119">
                  <c:v>#N/A</c:v>
                </c:pt>
                <c:pt idx="120">
                  <c:v>#N/A</c:v>
                </c:pt>
                <c:pt idx="121">
                  <c:v>#N/A</c:v>
                </c:pt>
                <c:pt idx="122">
                  <c:v>#N/A</c:v>
                </c:pt>
                <c:pt idx="123">
                  <c:v>#N/A</c:v>
                </c:pt>
                <c:pt idx="124">
                  <c:v>8</c:v>
                </c:pt>
                <c:pt idx="125">
                  <c:v>8</c:v>
                </c:pt>
                <c:pt idx="126">
                  <c:v>#N/A</c:v>
                </c:pt>
                <c:pt idx="127">
                  <c:v>#N/A</c:v>
                </c:pt>
                <c:pt idx="128">
                  <c:v>4</c:v>
                </c:pt>
                <c:pt idx="129">
                  <c:v>1</c:v>
                </c:pt>
                <c:pt idx="130">
                  <c:v>1</c:v>
                </c:pt>
                <c:pt idx="131">
                  <c:v>#N/A</c:v>
                </c:pt>
                <c:pt idx="132">
                  <c:v>#N/A</c:v>
                </c:pt>
                <c:pt idx="133">
                  <c:v>#N/A</c:v>
                </c:pt>
                <c:pt idx="134">
                  <c:v>#N/A</c:v>
                </c:pt>
                <c:pt idx="135">
                  <c:v>4</c:v>
                </c:pt>
                <c:pt idx="136">
                  <c:v>1</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0-5325-403F-85B7-A88E6AFBDBD6}"/>
            </c:ext>
          </c:extLst>
        </c:ser>
        <c:ser>
          <c:idx val="1"/>
          <c:order val="1"/>
          <c:tx>
            <c:v>RX</c:v>
          </c:tx>
          <c:spPr>
            <a:ln w="25400" cap="rnd">
              <a:noFill/>
              <a:round/>
            </a:ln>
            <a:effectLst/>
          </c:spPr>
          <c:marker>
            <c:symbol val="circle"/>
            <c:size val="7"/>
            <c:spPr>
              <a:solidFill>
                <a:schemeClr val="accent4">
                  <a:alpha val="50000"/>
                </a:schemeClr>
              </a:solidFill>
              <a:ln w="9525">
                <a:no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Plot_Data_Integration!$C$2:$C$147</c:f>
              <c:numCache>
                <c:formatCode>General</c:formatCode>
                <c:ptCount val="146"/>
                <c:pt idx="0">
                  <c:v>#N/A</c:v>
                </c:pt>
                <c:pt idx="1">
                  <c:v>#N/A</c:v>
                </c:pt>
                <c:pt idx="2">
                  <c:v>#N/A</c:v>
                </c:pt>
                <c:pt idx="3">
                  <c:v>16</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1</c:v>
                </c:pt>
                <c:pt idx="23">
                  <c:v>#N/A</c:v>
                </c:pt>
                <c:pt idx="24">
                  <c:v>#N/A</c:v>
                </c:pt>
                <c:pt idx="25">
                  <c:v>#N/A</c:v>
                </c:pt>
                <c:pt idx="26">
                  <c:v>8</c:v>
                </c:pt>
                <c:pt idx="27">
                  <c:v>8</c:v>
                </c:pt>
                <c:pt idx="28">
                  <c:v>#N/A</c:v>
                </c:pt>
                <c:pt idx="29">
                  <c:v>#N/A</c:v>
                </c:pt>
                <c:pt idx="30">
                  <c:v>#N/A</c:v>
                </c:pt>
                <c:pt idx="31">
                  <c:v>#N/A</c:v>
                </c:pt>
                <c:pt idx="32">
                  <c:v>#N/A</c:v>
                </c:pt>
                <c:pt idx="33">
                  <c:v>#N/A</c:v>
                </c:pt>
                <c:pt idx="34">
                  <c:v>#N/A</c:v>
                </c:pt>
                <c:pt idx="35">
                  <c:v>16</c:v>
                </c:pt>
                <c:pt idx="36">
                  <c:v>#N/A</c:v>
                </c:pt>
                <c:pt idx="37">
                  <c:v>#N/A</c:v>
                </c:pt>
                <c:pt idx="38">
                  <c:v>4</c:v>
                </c:pt>
                <c:pt idx="39">
                  <c:v>4</c:v>
                </c:pt>
                <c:pt idx="40">
                  <c:v>#N/A</c:v>
                </c:pt>
                <c:pt idx="41">
                  <c:v>#N/A</c:v>
                </c:pt>
                <c:pt idx="42">
                  <c:v>1</c:v>
                </c:pt>
                <c:pt idx="43">
                  <c:v>1</c:v>
                </c:pt>
                <c:pt idx="44">
                  <c:v>#N/A</c:v>
                </c:pt>
                <c:pt idx="45">
                  <c:v>#N/A</c:v>
                </c:pt>
                <c:pt idx="46">
                  <c:v>#N/A</c:v>
                </c:pt>
                <c:pt idx="47">
                  <c:v>#N/A</c:v>
                </c:pt>
                <c:pt idx="48">
                  <c:v>#N/A</c:v>
                </c:pt>
                <c:pt idx="49">
                  <c:v>#N/A</c:v>
                </c:pt>
                <c:pt idx="50">
                  <c:v>#N/A</c:v>
                </c:pt>
                <c:pt idx="51">
                  <c:v>#N/A</c:v>
                </c:pt>
                <c:pt idx="52">
                  <c:v>#N/A</c:v>
                </c:pt>
                <c:pt idx="53">
                  <c:v>#N/A</c:v>
                </c:pt>
                <c:pt idx="54">
                  <c:v>1</c:v>
                </c:pt>
                <c:pt idx="55">
                  <c:v>#N/A</c:v>
                </c:pt>
                <c:pt idx="56">
                  <c:v>#N/A</c:v>
                </c:pt>
                <c:pt idx="57">
                  <c:v>1</c:v>
                </c:pt>
                <c:pt idx="58">
                  <c:v>#N/A</c:v>
                </c:pt>
                <c:pt idx="59">
                  <c:v>#N/A</c:v>
                </c:pt>
                <c:pt idx="60">
                  <c:v>#N/A</c:v>
                </c:pt>
                <c:pt idx="61">
                  <c:v>#N/A</c:v>
                </c:pt>
                <c:pt idx="62">
                  <c:v>1</c:v>
                </c:pt>
                <c:pt idx="63">
                  <c:v>#N/A</c:v>
                </c:pt>
                <c:pt idx="64">
                  <c:v>#N/A</c:v>
                </c:pt>
                <c:pt idx="65">
                  <c:v>#N/A</c:v>
                </c:pt>
                <c:pt idx="66">
                  <c:v>#N/A</c:v>
                </c:pt>
                <c:pt idx="67">
                  <c:v>#N/A</c:v>
                </c:pt>
                <c:pt idx="68">
                  <c:v>#N/A</c:v>
                </c:pt>
                <c:pt idx="69">
                  <c:v>4</c:v>
                </c:pt>
                <c:pt idx="70">
                  <c:v>#N/A</c:v>
                </c:pt>
                <c:pt idx="71">
                  <c:v>#N/A</c:v>
                </c:pt>
                <c:pt idx="72">
                  <c:v>#N/A</c:v>
                </c:pt>
                <c:pt idx="73">
                  <c:v>#N/A</c:v>
                </c:pt>
                <c:pt idx="74">
                  <c:v>4</c:v>
                </c:pt>
                <c:pt idx="75">
                  <c:v>8</c:v>
                </c:pt>
                <c:pt idx="76">
                  <c:v>#N/A</c:v>
                </c:pt>
                <c:pt idx="77">
                  <c:v>4</c:v>
                </c:pt>
                <c:pt idx="78">
                  <c:v>#N/A</c:v>
                </c:pt>
                <c:pt idx="79">
                  <c:v>#N/A</c:v>
                </c:pt>
                <c:pt idx="80">
                  <c:v>#N/A</c:v>
                </c:pt>
                <c:pt idx="81">
                  <c:v>#N/A</c:v>
                </c:pt>
                <c:pt idx="82">
                  <c:v>#N/A</c:v>
                </c:pt>
                <c:pt idx="83">
                  <c:v>#N/A</c:v>
                </c:pt>
                <c:pt idx="84">
                  <c:v>#N/A</c:v>
                </c:pt>
                <c:pt idx="85">
                  <c:v>4</c:v>
                </c:pt>
                <c:pt idx="86">
                  <c:v>4</c:v>
                </c:pt>
                <c:pt idx="87">
                  <c:v>#N/A</c:v>
                </c:pt>
                <c:pt idx="88">
                  <c:v>#N/A</c:v>
                </c:pt>
                <c:pt idx="89">
                  <c:v>#N/A</c:v>
                </c:pt>
                <c:pt idx="90">
                  <c:v>#N/A</c:v>
                </c:pt>
                <c:pt idx="91">
                  <c:v>4</c:v>
                </c:pt>
                <c:pt idx="92">
                  <c:v>8</c:v>
                </c:pt>
                <c:pt idx="93">
                  <c:v>1</c:v>
                </c:pt>
                <c:pt idx="94">
                  <c:v>#N/A</c:v>
                </c:pt>
                <c:pt idx="95">
                  <c:v>#N/A</c:v>
                </c:pt>
                <c:pt idx="96">
                  <c:v>#N/A</c:v>
                </c:pt>
                <c:pt idx="97">
                  <c:v>#N/A</c:v>
                </c:pt>
                <c:pt idx="98">
                  <c:v>#N/A</c:v>
                </c:pt>
                <c:pt idx="99">
                  <c:v>4</c:v>
                </c:pt>
                <c:pt idx="100">
                  <c:v>#N/A</c:v>
                </c:pt>
                <c:pt idx="101">
                  <c:v>#N/A</c:v>
                </c:pt>
                <c:pt idx="102">
                  <c:v>#N/A</c:v>
                </c:pt>
                <c:pt idx="103">
                  <c:v>#N/A</c:v>
                </c:pt>
                <c:pt idx="104">
                  <c:v>#N/A</c:v>
                </c:pt>
                <c:pt idx="105">
                  <c:v>#N/A</c:v>
                </c:pt>
                <c:pt idx="106">
                  <c:v>#N/A</c:v>
                </c:pt>
                <c:pt idx="107">
                  <c:v>#N/A</c:v>
                </c:pt>
                <c:pt idx="108">
                  <c:v>#N/A</c:v>
                </c:pt>
                <c:pt idx="109">
                  <c:v>4</c:v>
                </c:pt>
                <c:pt idx="110">
                  <c:v>#N/A</c:v>
                </c:pt>
                <c:pt idx="111">
                  <c:v>#N/A</c:v>
                </c:pt>
                <c:pt idx="112">
                  <c:v>4</c:v>
                </c:pt>
                <c:pt idx="113">
                  <c:v>#N/A</c:v>
                </c:pt>
                <c:pt idx="114">
                  <c:v>8</c:v>
                </c:pt>
                <c:pt idx="115">
                  <c:v>#N/A</c:v>
                </c:pt>
                <c:pt idx="116">
                  <c:v>2</c:v>
                </c:pt>
                <c:pt idx="117">
                  <c:v>2</c:v>
                </c:pt>
                <c:pt idx="118">
                  <c:v>2</c:v>
                </c:pt>
                <c:pt idx="119">
                  <c:v>2</c:v>
                </c:pt>
                <c:pt idx="120">
                  <c:v>4</c:v>
                </c:pt>
                <c:pt idx="121">
                  <c:v>4</c:v>
                </c:pt>
                <c:pt idx="122">
                  <c:v>#N/A</c:v>
                </c:pt>
                <c:pt idx="123">
                  <c:v>4</c:v>
                </c:pt>
                <c:pt idx="124">
                  <c:v>#N/A</c:v>
                </c:pt>
                <c:pt idx="125">
                  <c:v>#N/A</c:v>
                </c:pt>
                <c:pt idx="126">
                  <c:v>#N/A</c:v>
                </c:pt>
                <c:pt idx="127">
                  <c:v>#N/A</c:v>
                </c:pt>
                <c:pt idx="128">
                  <c:v>#N/A</c:v>
                </c:pt>
                <c:pt idx="129">
                  <c:v>#N/A</c:v>
                </c:pt>
                <c:pt idx="130">
                  <c:v>#N/A</c:v>
                </c:pt>
                <c:pt idx="131">
                  <c:v>#N/A</c:v>
                </c:pt>
                <c:pt idx="132">
                  <c:v>1</c:v>
                </c:pt>
                <c:pt idx="133">
                  <c:v>4</c:v>
                </c:pt>
                <c:pt idx="134">
                  <c:v>#N/A</c:v>
                </c:pt>
                <c:pt idx="135">
                  <c:v>#N/A</c:v>
                </c:pt>
                <c:pt idx="136">
                  <c:v>#N/A</c:v>
                </c:pt>
                <c:pt idx="137">
                  <c:v>4</c:v>
                </c:pt>
                <c:pt idx="138">
                  <c:v>#N/A</c:v>
                </c:pt>
                <c:pt idx="139">
                  <c:v>#N/A</c:v>
                </c:pt>
                <c:pt idx="140">
                  <c:v>#N/A</c:v>
                </c:pt>
                <c:pt idx="141">
                  <c:v>#N/A</c:v>
                </c:pt>
                <c:pt idx="142">
                  <c:v>#N/A</c:v>
                </c:pt>
                <c:pt idx="143">
                  <c:v>4</c:v>
                </c:pt>
                <c:pt idx="144">
                  <c:v>#N/A</c:v>
                </c:pt>
                <c:pt idx="145">
                  <c:v>#N/A</c:v>
                </c:pt>
              </c:numCache>
            </c:numRef>
          </c:yVal>
          <c:smooth val="0"/>
          <c:extLst>
            <c:ext xmlns:c16="http://schemas.microsoft.com/office/drawing/2014/chart" uri="{C3380CC4-5D6E-409C-BE32-E72D297353CC}">
              <c16:uniqueId val="{00000001-5325-403F-85B7-A88E6AFBDBD6}"/>
            </c:ext>
          </c:extLst>
        </c:ser>
        <c:ser>
          <c:idx val="2"/>
          <c:order val="2"/>
          <c:tx>
            <c:v>TRX</c:v>
          </c:tx>
          <c:spPr>
            <a:ln w="25400" cap="rnd">
              <a:noFill/>
              <a:round/>
            </a:ln>
            <a:effectLst/>
          </c:spPr>
          <c:marker>
            <c:symbol val="circle"/>
            <c:size val="7"/>
            <c:spPr>
              <a:solidFill>
                <a:srgbClr val="7030A0">
                  <a:alpha val="50000"/>
                </a:srgbClr>
              </a:solidFill>
              <a:ln w="9525">
                <a:no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Plot_Data_Integration!$D$2:$D$147</c:f>
              <c:numCache>
                <c:formatCode>General</c:formatCode>
                <c:ptCount val="146"/>
                <c:pt idx="0">
                  <c:v>#N/A</c:v>
                </c:pt>
                <c:pt idx="1">
                  <c:v>36</c:v>
                </c:pt>
                <c:pt idx="2">
                  <c:v>40</c:v>
                </c:pt>
                <c:pt idx="3">
                  <c:v>#N/A</c:v>
                </c:pt>
                <c:pt idx="4">
                  <c:v>#N/A</c:v>
                </c:pt>
                <c:pt idx="5">
                  <c:v>#N/A</c:v>
                </c:pt>
                <c:pt idx="6">
                  <c:v>#N/A</c:v>
                </c:pt>
                <c:pt idx="7">
                  <c:v>#N/A</c:v>
                </c:pt>
                <c:pt idx="8">
                  <c:v>64</c:v>
                </c:pt>
                <c:pt idx="9">
                  <c:v>32</c:v>
                </c:pt>
                <c:pt idx="10">
                  <c:v>32</c:v>
                </c:pt>
                <c:pt idx="11">
                  <c:v>#N/A</c:v>
                </c:pt>
                <c:pt idx="12">
                  <c:v>#N/A</c:v>
                </c:pt>
                <c:pt idx="13">
                  <c:v>32</c:v>
                </c:pt>
                <c:pt idx="14">
                  <c:v>20</c:v>
                </c:pt>
                <c:pt idx="15">
                  <c:v>20</c:v>
                </c:pt>
                <c:pt idx="16">
                  <c:v>#N/A</c:v>
                </c:pt>
                <c:pt idx="17">
                  <c:v>#N/A</c:v>
                </c:pt>
                <c:pt idx="18">
                  <c:v>#N/A</c:v>
                </c:pt>
                <c:pt idx="19">
                  <c:v>#N/A</c:v>
                </c:pt>
                <c:pt idx="20">
                  <c:v>32</c:v>
                </c:pt>
                <c:pt idx="21">
                  <c:v>#N/A</c:v>
                </c:pt>
                <c:pt idx="22">
                  <c:v>#N/A</c:v>
                </c:pt>
                <c:pt idx="23">
                  <c:v>#N/A</c:v>
                </c:pt>
                <c:pt idx="24">
                  <c:v>2</c:v>
                </c:pt>
                <c:pt idx="25">
                  <c:v>2</c:v>
                </c:pt>
                <c:pt idx="26">
                  <c:v>#N/A</c:v>
                </c:pt>
                <c:pt idx="27">
                  <c:v>#N/A</c:v>
                </c:pt>
                <c:pt idx="28">
                  <c:v>24</c:v>
                </c:pt>
                <c:pt idx="29">
                  <c:v>24</c:v>
                </c:pt>
                <c:pt idx="30">
                  <c:v>24</c:v>
                </c:pt>
                <c:pt idx="31">
                  <c:v>24</c:v>
                </c:pt>
                <c:pt idx="32">
                  <c:v>#N/A</c:v>
                </c:pt>
                <c:pt idx="33">
                  <c:v>8</c:v>
                </c:pt>
                <c:pt idx="34">
                  <c:v>#N/A</c:v>
                </c:pt>
                <c:pt idx="35">
                  <c:v>#N/A</c:v>
                </c:pt>
                <c:pt idx="36">
                  <c:v>#N/A</c:v>
                </c:pt>
                <c:pt idx="37">
                  <c:v>2</c:v>
                </c:pt>
                <c:pt idx="38">
                  <c:v>#N/A</c:v>
                </c:pt>
                <c:pt idx="39">
                  <c:v>#N/A</c:v>
                </c:pt>
                <c:pt idx="40">
                  <c:v>8</c:v>
                </c:pt>
                <c:pt idx="41">
                  <c:v>2</c:v>
                </c:pt>
                <c:pt idx="42">
                  <c:v>#N/A</c:v>
                </c:pt>
                <c:pt idx="43">
                  <c:v>#N/A</c:v>
                </c:pt>
                <c:pt idx="44">
                  <c:v>8</c:v>
                </c:pt>
                <c:pt idx="45">
                  <c:v>24</c:v>
                </c:pt>
                <c:pt idx="46">
                  <c:v>#N/A</c:v>
                </c:pt>
                <c:pt idx="47">
                  <c:v>#N/A</c:v>
                </c:pt>
                <c:pt idx="48">
                  <c:v>#N/A</c:v>
                </c:pt>
                <c:pt idx="49">
                  <c:v>#N/A</c:v>
                </c:pt>
                <c:pt idx="50">
                  <c:v>#N/A</c:v>
                </c:pt>
                <c:pt idx="51">
                  <c:v>8</c:v>
                </c:pt>
                <c:pt idx="52">
                  <c:v>2</c:v>
                </c:pt>
                <c:pt idx="53">
                  <c:v>2</c:v>
                </c:pt>
                <c:pt idx="54">
                  <c:v>#N/A</c:v>
                </c:pt>
                <c:pt idx="55">
                  <c:v>#N/A</c:v>
                </c:pt>
                <c:pt idx="56">
                  <c:v>#N/A</c:v>
                </c:pt>
                <c:pt idx="57">
                  <c:v>#N/A</c:v>
                </c:pt>
                <c:pt idx="58">
                  <c:v>8</c:v>
                </c:pt>
                <c:pt idx="59">
                  <c:v>8</c:v>
                </c:pt>
                <c:pt idx="60">
                  <c:v>8</c:v>
                </c:pt>
                <c:pt idx="61">
                  <c:v>#N/A</c:v>
                </c:pt>
                <c:pt idx="62">
                  <c:v>#N/A</c:v>
                </c:pt>
                <c:pt idx="63">
                  <c:v>#N/A</c:v>
                </c:pt>
                <c:pt idx="64">
                  <c:v>2</c:v>
                </c:pt>
                <c:pt idx="65">
                  <c:v>#N/A</c:v>
                </c:pt>
                <c:pt idx="66">
                  <c:v>#N/A</c:v>
                </c:pt>
                <c:pt idx="67">
                  <c:v>4</c:v>
                </c:pt>
                <c:pt idx="68">
                  <c:v>#N/A</c:v>
                </c:pt>
                <c:pt idx="69">
                  <c:v>#N/A</c:v>
                </c:pt>
                <c:pt idx="70">
                  <c:v>#N/A</c:v>
                </c:pt>
                <c:pt idx="71">
                  <c:v>#N/A</c:v>
                </c:pt>
                <c:pt idx="72">
                  <c:v>8</c:v>
                </c:pt>
                <c:pt idx="73">
                  <c:v>8</c:v>
                </c:pt>
                <c:pt idx="74">
                  <c:v>#N/A</c:v>
                </c:pt>
                <c:pt idx="75">
                  <c:v>#N/A</c:v>
                </c:pt>
                <c:pt idx="76">
                  <c:v>#N/A</c:v>
                </c:pt>
                <c:pt idx="77">
                  <c:v>#N/A</c:v>
                </c:pt>
                <c:pt idx="78">
                  <c:v>#N/A</c:v>
                </c:pt>
                <c:pt idx="79">
                  <c:v>#N/A</c:v>
                </c:pt>
                <c:pt idx="80">
                  <c:v>#N/A</c:v>
                </c:pt>
                <c:pt idx="81">
                  <c:v>#N/A</c:v>
                </c:pt>
                <c:pt idx="82">
                  <c:v>#N/A</c:v>
                </c:pt>
                <c:pt idx="83">
                  <c:v>16</c:v>
                </c:pt>
                <c:pt idx="84">
                  <c:v>#N/A</c:v>
                </c:pt>
                <c:pt idx="85">
                  <c:v>#N/A</c:v>
                </c:pt>
                <c:pt idx="86">
                  <c:v>#N/A</c:v>
                </c:pt>
                <c:pt idx="87">
                  <c:v>#N/A</c:v>
                </c:pt>
                <c:pt idx="88">
                  <c:v>2</c:v>
                </c:pt>
                <c:pt idx="89">
                  <c:v>32</c:v>
                </c:pt>
                <c:pt idx="90">
                  <c:v>32</c:v>
                </c:pt>
                <c:pt idx="91">
                  <c:v>#N/A</c:v>
                </c:pt>
                <c:pt idx="92">
                  <c:v>#N/A</c:v>
                </c:pt>
                <c:pt idx="93">
                  <c:v>#N/A</c:v>
                </c:pt>
                <c:pt idx="94">
                  <c:v>#N/A</c:v>
                </c:pt>
                <c:pt idx="95">
                  <c:v>#N/A</c:v>
                </c:pt>
                <c:pt idx="96">
                  <c:v>#N/A</c:v>
                </c:pt>
                <c:pt idx="97">
                  <c:v>#N/A</c:v>
                </c:pt>
                <c:pt idx="98">
                  <c:v>#N/A</c:v>
                </c:pt>
                <c:pt idx="99">
                  <c:v>#N/A</c:v>
                </c:pt>
                <c:pt idx="100">
                  <c:v>8</c:v>
                </c:pt>
                <c:pt idx="101">
                  <c:v>#N/A</c:v>
                </c:pt>
                <c:pt idx="102">
                  <c:v>#N/A</c:v>
                </c:pt>
                <c:pt idx="103">
                  <c:v>8</c:v>
                </c:pt>
                <c:pt idx="104">
                  <c:v>8</c:v>
                </c:pt>
                <c:pt idx="105">
                  <c:v>#N/A</c:v>
                </c:pt>
                <c:pt idx="106">
                  <c:v>#N/A</c:v>
                </c:pt>
                <c:pt idx="107">
                  <c:v>#N/A</c:v>
                </c:pt>
                <c:pt idx="108">
                  <c:v>#N/A</c:v>
                </c:pt>
                <c:pt idx="109">
                  <c:v>#N/A</c:v>
                </c:pt>
                <c:pt idx="110">
                  <c:v>16</c:v>
                </c:pt>
                <c:pt idx="111">
                  <c:v>#N/A</c:v>
                </c:pt>
                <c:pt idx="112">
                  <c:v>#N/A</c:v>
                </c:pt>
                <c:pt idx="113">
                  <c:v>8</c:v>
                </c:pt>
                <c:pt idx="114">
                  <c:v>#N/A</c:v>
                </c:pt>
                <c:pt idx="115">
                  <c:v>#N/A</c:v>
                </c:pt>
                <c:pt idx="116">
                  <c:v>#N/A</c:v>
                </c:pt>
                <c:pt idx="117">
                  <c:v>#N/A</c:v>
                </c:pt>
                <c:pt idx="118">
                  <c:v>#N/A</c:v>
                </c:pt>
                <c:pt idx="119">
                  <c:v>#N/A</c:v>
                </c:pt>
                <c:pt idx="120">
                  <c:v>#N/A</c:v>
                </c:pt>
                <c:pt idx="121">
                  <c:v>#N/A</c:v>
                </c:pt>
                <c:pt idx="122">
                  <c:v>8</c:v>
                </c:pt>
                <c:pt idx="123">
                  <c:v>#N/A</c:v>
                </c:pt>
                <c:pt idx="124">
                  <c:v>#N/A</c:v>
                </c:pt>
                <c:pt idx="125">
                  <c:v>#N/A</c:v>
                </c:pt>
                <c:pt idx="126">
                  <c:v>8</c:v>
                </c:pt>
                <c:pt idx="127">
                  <c:v>8</c:v>
                </c:pt>
                <c:pt idx="128">
                  <c:v>#N/A</c:v>
                </c:pt>
                <c:pt idx="129">
                  <c:v>#N/A</c:v>
                </c:pt>
                <c:pt idx="130">
                  <c:v>#N/A</c:v>
                </c:pt>
                <c:pt idx="131">
                  <c:v>#N/A</c:v>
                </c:pt>
                <c:pt idx="132">
                  <c:v>#N/A</c:v>
                </c:pt>
                <c:pt idx="133">
                  <c:v>#N/A</c:v>
                </c:pt>
                <c:pt idx="134">
                  <c:v>#N/A</c:v>
                </c:pt>
                <c:pt idx="135">
                  <c:v>#N/A</c:v>
                </c:pt>
                <c:pt idx="136">
                  <c:v>#N/A</c:v>
                </c:pt>
                <c:pt idx="137">
                  <c:v>#N/A</c:v>
                </c:pt>
                <c:pt idx="138">
                  <c:v>#N/A</c:v>
                </c:pt>
                <c:pt idx="139">
                  <c:v>8</c:v>
                </c:pt>
                <c:pt idx="140">
                  <c:v>12</c:v>
                </c:pt>
                <c:pt idx="141">
                  <c:v>8</c:v>
                </c:pt>
                <c:pt idx="142">
                  <c:v>#N/A</c:v>
                </c:pt>
                <c:pt idx="143">
                  <c:v>#N/A</c:v>
                </c:pt>
                <c:pt idx="144">
                  <c:v>126</c:v>
                </c:pt>
                <c:pt idx="145">
                  <c:v>#N/A</c:v>
                </c:pt>
              </c:numCache>
            </c:numRef>
          </c:yVal>
          <c:smooth val="0"/>
          <c:extLst>
            <c:ext xmlns:c16="http://schemas.microsoft.com/office/drawing/2014/chart" uri="{C3380CC4-5D6E-409C-BE32-E72D297353CC}">
              <c16:uniqueId val="{00000002-5325-403F-85B7-A88E6AFBDBD6}"/>
            </c:ext>
          </c:extLst>
        </c:ser>
        <c:ser>
          <c:idx val="3"/>
          <c:order val="3"/>
          <c:tx>
            <c:v>Oscillator</c:v>
          </c:tx>
          <c:spPr>
            <a:ln w="25400" cap="rnd">
              <a:noFill/>
              <a:round/>
            </a:ln>
            <a:effectLst/>
          </c:spPr>
          <c:marker>
            <c:symbol val="circle"/>
            <c:size val="7"/>
            <c:spPr>
              <a:solidFill>
                <a:srgbClr val="00B050">
                  <a:alpha val="50000"/>
                </a:srgbClr>
              </a:solidFill>
              <a:ln w="9525">
                <a:no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Plot_Data_Integration!$E$2:$E$147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16</c:v>
                </c:pt>
                <c:pt idx="13">
                  <c:v>#N/A</c:v>
                </c:pt>
                <c:pt idx="14">
                  <c:v>#N/A</c:v>
                </c:pt>
                <c:pt idx="15">
                  <c:v>#N/A</c:v>
                </c:pt>
                <c:pt idx="16">
                  <c:v>#N/A</c:v>
                </c:pt>
                <c:pt idx="17">
                  <c:v>#N/A</c:v>
                </c:pt>
                <c:pt idx="18">
                  <c:v>#N/A</c:v>
                </c:pt>
                <c:pt idx="19">
                  <c:v>#N/A</c:v>
                </c:pt>
                <c:pt idx="20">
                  <c:v>#N/A</c:v>
                </c:pt>
                <c:pt idx="21">
                  <c:v>#N/A</c:v>
                </c:pt>
                <c:pt idx="22">
                  <c:v>#N/A</c:v>
                </c:pt>
                <c:pt idx="23">
                  <c:v>2</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64</c:v>
                </c:pt>
                <c:pt idx="47">
                  <c:v>36</c:v>
                </c:pt>
                <c:pt idx="48">
                  <c:v>16</c:v>
                </c:pt>
                <c:pt idx="49">
                  <c:v>1</c:v>
                </c:pt>
                <c:pt idx="50">
                  <c:v>8</c:v>
                </c:pt>
                <c:pt idx="51">
                  <c:v>#N/A</c:v>
                </c:pt>
                <c:pt idx="52">
                  <c:v>#N/A</c:v>
                </c:pt>
                <c:pt idx="53">
                  <c:v>#N/A</c:v>
                </c:pt>
                <c:pt idx="54">
                  <c:v>#N/A</c:v>
                </c:pt>
                <c:pt idx="55">
                  <c:v>#N/A</c:v>
                </c:pt>
                <c:pt idx="56">
                  <c:v>#N/A</c:v>
                </c:pt>
                <c:pt idx="57">
                  <c:v>#N/A</c:v>
                </c:pt>
                <c:pt idx="58">
                  <c:v>#N/A</c:v>
                </c:pt>
                <c:pt idx="59">
                  <c:v>#N/A</c:v>
                </c:pt>
                <c:pt idx="60">
                  <c:v>#N/A</c:v>
                </c:pt>
                <c:pt idx="61">
                  <c:v>#N/A</c:v>
                </c:pt>
                <c:pt idx="62">
                  <c:v>#N/A</c:v>
                </c:pt>
                <c:pt idx="63">
                  <c:v>1</c:v>
                </c:pt>
                <c:pt idx="64">
                  <c:v>#N/A</c:v>
                </c:pt>
                <c:pt idx="65">
                  <c:v>21</c:v>
                </c:pt>
                <c:pt idx="66">
                  <c:v>1</c:v>
                </c:pt>
                <c:pt idx="67">
                  <c:v>#N/A</c:v>
                </c:pt>
                <c:pt idx="68">
                  <c:v>#N/A</c:v>
                </c:pt>
                <c:pt idx="69">
                  <c:v>#N/A</c:v>
                </c:pt>
                <c:pt idx="70">
                  <c:v>#N/A</c:v>
                </c:pt>
                <c:pt idx="71">
                  <c:v>#N/A</c:v>
                </c:pt>
                <c:pt idx="72">
                  <c:v>#N/A</c:v>
                </c:pt>
                <c:pt idx="73">
                  <c:v>#N/A</c:v>
                </c:pt>
                <c:pt idx="74">
                  <c:v>#N/A</c:v>
                </c:pt>
                <c:pt idx="75">
                  <c:v>#N/A</c:v>
                </c:pt>
                <c:pt idx="76">
                  <c:v>#N/A</c:v>
                </c:pt>
                <c:pt idx="77">
                  <c:v>#N/A</c:v>
                </c:pt>
                <c:pt idx="78">
                  <c:v>16</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6</c:v>
                </c:pt>
                <c:pt idx="95">
                  <c:v>#N/A</c:v>
                </c:pt>
                <c:pt idx="96">
                  <c:v>#N/A</c:v>
                </c:pt>
                <c:pt idx="97">
                  <c:v>#N/A</c:v>
                </c:pt>
                <c:pt idx="98">
                  <c:v>#N/A</c:v>
                </c:pt>
                <c:pt idx="99">
                  <c:v>#N/A</c:v>
                </c:pt>
                <c:pt idx="100">
                  <c:v>#N/A</c:v>
                </c:pt>
                <c:pt idx="101">
                  <c:v>16</c:v>
                </c:pt>
                <c:pt idx="102">
                  <c:v>#N/A</c:v>
                </c:pt>
                <c:pt idx="103">
                  <c:v>#N/A</c:v>
                </c:pt>
                <c:pt idx="104">
                  <c:v>#N/A</c:v>
                </c:pt>
                <c:pt idx="105">
                  <c:v>#N/A</c:v>
                </c:pt>
                <c:pt idx="106">
                  <c:v>16</c:v>
                </c:pt>
                <c:pt idx="107">
                  <c:v>16</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144</c:v>
                </c:pt>
                <c:pt idx="132">
                  <c:v>#N/A</c:v>
                </c:pt>
                <c:pt idx="133">
                  <c:v>#N/A</c:v>
                </c:pt>
                <c:pt idx="134">
                  <c:v>16</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3-5325-403F-85B7-A88E6AFBDBD6}"/>
            </c:ext>
          </c:extLst>
        </c:ser>
        <c:ser>
          <c:idx val="4"/>
          <c:order val="4"/>
          <c:tx>
            <c:v>Relay</c:v>
          </c:tx>
          <c:spPr>
            <a:ln w="25400" cap="rnd">
              <a:noFill/>
              <a:round/>
            </a:ln>
            <a:effectLst/>
          </c:spPr>
          <c:marker>
            <c:symbol val="circle"/>
            <c:size val="7"/>
            <c:spPr>
              <a:solidFill>
                <a:srgbClr val="00B0F0">
                  <a:alpha val="50000"/>
                </a:srgbClr>
              </a:solidFill>
              <a:ln w="9525">
                <a:no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Plot_Data_Integration!$F$2:$F$147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9</c:v>
                </c:pt>
                <c:pt idx="85">
                  <c:v>#N/A</c:v>
                </c:pt>
                <c:pt idx="86">
                  <c:v>#N/A</c:v>
                </c:pt>
                <c:pt idx="87">
                  <c:v>#N/A</c:v>
                </c:pt>
                <c:pt idx="88">
                  <c:v>#N/A</c:v>
                </c:pt>
                <c:pt idx="89">
                  <c:v>#N/A</c:v>
                </c:pt>
                <c:pt idx="90">
                  <c:v>#N/A</c:v>
                </c:pt>
                <c:pt idx="91">
                  <c:v>#N/A</c:v>
                </c:pt>
                <c:pt idx="92">
                  <c:v>#N/A</c:v>
                </c:pt>
                <c:pt idx="93">
                  <c:v>#N/A</c:v>
                </c:pt>
                <c:pt idx="94">
                  <c:v>#N/A</c:v>
                </c:pt>
                <c:pt idx="95">
                  <c:v>#N/A</c:v>
                </c:pt>
                <c:pt idx="96">
                  <c:v>#N/A</c:v>
                </c:pt>
                <c:pt idx="97">
                  <c:v>98</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8</c:v>
                </c:pt>
                <c:pt idx="139">
                  <c:v>#N/A</c:v>
                </c:pt>
                <c:pt idx="140">
                  <c:v>#N/A</c:v>
                </c:pt>
                <c:pt idx="141">
                  <c:v>#N/A</c:v>
                </c:pt>
                <c:pt idx="142">
                  <c:v>4</c:v>
                </c:pt>
                <c:pt idx="143">
                  <c:v>#N/A</c:v>
                </c:pt>
                <c:pt idx="144">
                  <c:v>#N/A</c:v>
                </c:pt>
                <c:pt idx="145">
                  <c:v>#N/A</c:v>
                </c:pt>
              </c:numCache>
            </c:numRef>
          </c:yVal>
          <c:smooth val="0"/>
          <c:extLst>
            <c:ext xmlns:c16="http://schemas.microsoft.com/office/drawing/2014/chart" uri="{C3380CC4-5D6E-409C-BE32-E72D297353CC}">
              <c16:uniqueId val="{00000004-5325-403F-85B7-A88E6AFBDBD6}"/>
            </c:ext>
          </c:extLst>
        </c:ser>
        <c:dLbls>
          <c:showLegendKey val="0"/>
          <c:showVal val="0"/>
          <c:showCatName val="0"/>
          <c:showSerName val="0"/>
          <c:showPercent val="0"/>
          <c:showBubbleSize val="0"/>
        </c:dLbls>
        <c:axId val="249305247"/>
        <c:axId val="249087183"/>
      </c:scatterChart>
      <c:valAx>
        <c:axId val="249305247"/>
        <c:scaling>
          <c:orientation val="minMax"/>
          <c:max val="500"/>
        </c:scaling>
        <c:delete val="0"/>
        <c:axPos val="b"/>
        <c:majorGridlines>
          <c:spPr>
            <a:ln w="158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087183"/>
        <c:crosses val="autoZero"/>
        <c:crossBetween val="midCat"/>
        <c:majorUnit val="50"/>
      </c:valAx>
      <c:valAx>
        <c:axId val="249087183"/>
        <c:scaling>
          <c:logBase val="10"/>
          <c:orientation val="minMax"/>
        </c:scaling>
        <c:delete val="0"/>
        <c:axPos val="l"/>
        <c:majorGridlines>
          <c:spPr>
            <a:ln w="158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Signal Chains</a:t>
                </a:r>
                <a:r>
                  <a:rPr lang="en-US" baseline="0"/>
                  <a:t> / IC</a:t>
                </a:r>
                <a:endParaRPr lang="en-US"/>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305247"/>
        <c:crosses val="autoZero"/>
        <c:crossBetween val="midCat"/>
      </c:valAx>
      <c:spPr>
        <a:noFill/>
        <a:ln w="25400">
          <a:solidFill>
            <a:schemeClr val="tx1"/>
          </a:solidFill>
        </a:ln>
        <a:effectLst/>
      </c:spPr>
    </c:plotArea>
    <c:legend>
      <c:legendPos val="t"/>
      <c:layout>
        <c:manualLayout>
          <c:xMode val="edge"/>
          <c:yMode val="edge"/>
          <c:x val="0.25172428806787217"/>
          <c:y val="0.19129835842849743"/>
          <c:w val="0.49803577973976021"/>
          <c:h val="6.6355011239397438E-2"/>
        </c:manualLayout>
      </c:layout>
      <c:overlay val="1"/>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r>
              <a:rPr lang="en-US"/>
              <a:t># of Sigal Chains Per Antenna/IC</a:t>
            </a:r>
            <a:r>
              <a:rPr lang="en-US" baseline="0"/>
              <a:t> vs. Operation Frequency</a:t>
            </a:r>
            <a:endParaRPr lang="en-US"/>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endParaRPr lang="en-CH"/>
        </a:p>
      </c:txPr>
    </c:title>
    <c:autoTitleDeleted val="0"/>
    <c:plotArea>
      <c:layout>
        <c:manualLayout>
          <c:layoutTarget val="inner"/>
          <c:xMode val="edge"/>
          <c:yMode val="edge"/>
          <c:x val="0.14921300160060638"/>
          <c:y val="0.1655132371066812"/>
          <c:w val="0.72356958711379349"/>
          <c:h val="0.62126968928366488"/>
        </c:manualLayout>
      </c:layout>
      <c:scatterChart>
        <c:scatterStyle val="lineMarker"/>
        <c:varyColors val="0"/>
        <c:ser>
          <c:idx val="0"/>
          <c:order val="0"/>
          <c:tx>
            <c:v>TX</c:v>
          </c:tx>
          <c:spPr>
            <a:ln w="25400" cap="rnd">
              <a:noFill/>
              <a:round/>
            </a:ln>
            <a:effectLst/>
          </c:spPr>
          <c:marker>
            <c:symbol val="circle"/>
            <c:size val="7"/>
            <c:spPr>
              <a:solidFill>
                <a:srgbClr val="FF0000">
                  <a:alpha val="50000"/>
                </a:srgbClr>
              </a:solidFill>
              <a:ln w="9525">
                <a:no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Plot_Data_Integration!$I$2:$I$147</c:f>
              <c:numCache>
                <c:formatCode>General</c:formatCode>
                <c:ptCount val="146"/>
                <c:pt idx="0">
                  <c:v>1</c:v>
                </c:pt>
                <c:pt idx="1">
                  <c:v>#N/A</c:v>
                </c:pt>
                <c:pt idx="2">
                  <c:v>#N/A</c:v>
                </c:pt>
                <c:pt idx="3">
                  <c:v>#N/A</c:v>
                </c:pt>
                <c:pt idx="4">
                  <c:v>1</c:v>
                </c:pt>
                <c:pt idx="5">
                  <c:v>#N/A</c:v>
                </c:pt>
                <c:pt idx="6">
                  <c:v>#N/A</c:v>
                </c:pt>
                <c:pt idx="7">
                  <c:v>#N/A</c:v>
                </c:pt>
                <c:pt idx="8">
                  <c:v>#N/A</c:v>
                </c:pt>
                <c:pt idx="9">
                  <c:v>#N/A</c:v>
                </c:pt>
                <c:pt idx="10">
                  <c:v>#N/A</c:v>
                </c:pt>
                <c:pt idx="11">
                  <c:v>#N/A</c:v>
                </c:pt>
                <c:pt idx="12">
                  <c:v>#N/A</c:v>
                </c:pt>
                <c:pt idx="13">
                  <c:v>#N/A</c:v>
                </c:pt>
                <c:pt idx="14">
                  <c:v>#N/A</c:v>
                </c:pt>
                <c:pt idx="15">
                  <c:v>#N/A</c:v>
                </c:pt>
                <c:pt idx="16">
                  <c:v>#N/A</c:v>
                </c:pt>
                <c:pt idx="17">
                  <c:v>1</c:v>
                </c:pt>
                <c:pt idx="18">
                  <c:v>1</c:v>
                </c:pt>
                <c:pt idx="19">
                  <c:v>1</c:v>
                </c:pt>
                <c:pt idx="20">
                  <c:v>#N/A</c:v>
                </c:pt>
                <c:pt idx="21">
                  <c:v>1</c:v>
                </c:pt>
                <c:pt idx="22">
                  <c:v>#N/A</c:v>
                </c:pt>
                <c:pt idx="23">
                  <c:v>#N/A</c:v>
                </c:pt>
                <c:pt idx="24">
                  <c:v>#N/A</c:v>
                </c:pt>
                <c:pt idx="25">
                  <c:v>#N/A</c:v>
                </c:pt>
                <c:pt idx="26">
                  <c:v>#N/A</c:v>
                </c:pt>
                <c:pt idx="27">
                  <c:v>#N/A</c:v>
                </c:pt>
                <c:pt idx="28">
                  <c:v>#N/A</c:v>
                </c:pt>
                <c:pt idx="29">
                  <c:v>#N/A</c:v>
                </c:pt>
                <c:pt idx="30">
                  <c:v>#N/A</c:v>
                </c:pt>
                <c:pt idx="31">
                  <c:v>#N/A</c:v>
                </c:pt>
                <c:pt idx="32">
                  <c:v>#N/A</c:v>
                </c:pt>
                <c:pt idx="33">
                  <c:v>#N/A</c:v>
                </c:pt>
                <c:pt idx="34">
                  <c:v>1</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1</c:v>
                </c:pt>
                <c:pt idx="56">
                  <c:v>1</c:v>
                </c:pt>
                <c:pt idx="57">
                  <c:v>#N/A</c:v>
                </c:pt>
                <c:pt idx="58">
                  <c:v>#N/A</c:v>
                </c:pt>
                <c:pt idx="59">
                  <c:v>#N/A</c:v>
                </c:pt>
                <c:pt idx="60">
                  <c:v>#N/A</c:v>
                </c:pt>
                <c:pt idx="61">
                  <c:v>1</c:v>
                </c:pt>
                <c:pt idx="62">
                  <c:v>#N/A</c:v>
                </c:pt>
                <c:pt idx="63">
                  <c:v>#N/A</c:v>
                </c:pt>
                <c:pt idx="64">
                  <c:v>#N/A</c:v>
                </c:pt>
                <c:pt idx="65">
                  <c:v>#N/A</c:v>
                </c:pt>
                <c:pt idx="66">
                  <c:v>#N/A</c:v>
                </c:pt>
                <c:pt idx="67">
                  <c:v>#N/A</c:v>
                </c:pt>
                <c:pt idx="68">
                  <c:v>1</c:v>
                </c:pt>
                <c:pt idx="69">
                  <c:v>#N/A</c:v>
                </c:pt>
                <c:pt idx="70">
                  <c:v>2</c:v>
                </c:pt>
                <c:pt idx="71">
                  <c:v>#N/A</c:v>
                </c:pt>
                <c:pt idx="72">
                  <c:v>#N/A</c:v>
                </c:pt>
                <c:pt idx="73">
                  <c:v>#N/A</c:v>
                </c:pt>
                <c:pt idx="74">
                  <c:v>#N/A</c:v>
                </c:pt>
                <c:pt idx="75">
                  <c:v>#N/A</c:v>
                </c:pt>
                <c:pt idx="76">
                  <c:v>2</c:v>
                </c:pt>
                <c:pt idx="77">
                  <c:v>#N/A</c:v>
                </c:pt>
                <c:pt idx="78">
                  <c:v>#N/A</c:v>
                </c:pt>
                <c:pt idx="79">
                  <c:v>1</c:v>
                </c:pt>
                <c:pt idx="80">
                  <c:v>1</c:v>
                </c:pt>
                <c:pt idx="81">
                  <c:v>1</c:v>
                </c:pt>
                <c:pt idx="82">
                  <c:v>1</c:v>
                </c:pt>
                <c:pt idx="83">
                  <c:v>#N/A</c:v>
                </c:pt>
                <c:pt idx="84">
                  <c:v>#N/A</c:v>
                </c:pt>
                <c:pt idx="85">
                  <c:v>#N/A</c:v>
                </c:pt>
                <c:pt idx="86">
                  <c:v>#N/A</c:v>
                </c:pt>
                <c:pt idx="87">
                  <c:v>1</c:v>
                </c:pt>
                <c:pt idx="88">
                  <c:v>#N/A</c:v>
                </c:pt>
                <c:pt idx="89">
                  <c:v>#N/A</c:v>
                </c:pt>
                <c:pt idx="90">
                  <c:v>#N/A</c:v>
                </c:pt>
                <c:pt idx="91">
                  <c:v>#N/A</c:v>
                </c:pt>
                <c:pt idx="92">
                  <c:v>#N/A</c:v>
                </c:pt>
                <c:pt idx="93">
                  <c:v>#N/A</c:v>
                </c:pt>
                <c:pt idx="94">
                  <c:v>#N/A</c:v>
                </c:pt>
                <c:pt idx="95">
                  <c:v>1</c:v>
                </c:pt>
                <c:pt idx="96">
                  <c:v>1</c:v>
                </c:pt>
                <c:pt idx="97">
                  <c:v>#N/A</c:v>
                </c:pt>
                <c:pt idx="98">
                  <c:v>1</c:v>
                </c:pt>
                <c:pt idx="99">
                  <c:v>#N/A</c:v>
                </c:pt>
                <c:pt idx="100">
                  <c:v>#N/A</c:v>
                </c:pt>
                <c:pt idx="101">
                  <c:v>#N/A</c:v>
                </c:pt>
                <c:pt idx="102">
                  <c:v>#N/A</c:v>
                </c:pt>
                <c:pt idx="103">
                  <c:v>#N/A</c:v>
                </c:pt>
                <c:pt idx="104">
                  <c:v>#N/A</c:v>
                </c:pt>
                <c:pt idx="105">
                  <c:v>#N/A</c:v>
                </c:pt>
                <c:pt idx="106">
                  <c:v>#N/A</c:v>
                </c:pt>
                <c:pt idx="107">
                  <c:v>#N/A</c:v>
                </c:pt>
                <c:pt idx="108">
                  <c:v>1</c:v>
                </c:pt>
                <c:pt idx="109">
                  <c:v>#N/A</c:v>
                </c:pt>
                <c:pt idx="110">
                  <c:v>#N/A</c:v>
                </c:pt>
                <c:pt idx="111">
                  <c:v>1</c:v>
                </c:pt>
                <c:pt idx="112">
                  <c:v>#N/A</c:v>
                </c:pt>
                <c:pt idx="113">
                  <c:v>#N/A</c:v>
                </c:pt>
                <c:pt idx="114">
                  <c:v>#N/A</c:v>
                </c:pt>
                <c:pt idx="115">
                  <c:v>1</c:v>
                </c:pt>
                <c:pt idx="116">
                  <c:v>#N/A</c:v>
                </c:pt>
                <c:pt idx="117">
                  <c:v>#N/A</c:v>
                </c:pt>
                <c:pt idx="118">
                  <c:v>#N/A</c:v>
                </c:pt>
                <c:pt idx="119">
                  <c:v>#N/A</c:v>
                </c:pt>
                <c:pt idx="120">
                  <c:v>#N/A</c:v>
                </c:pt>
                <c:pt idx="121">
                  <c:v>#N/A</c:v>
                </c:pt>
                <c:pt idx="122">
                  <c:v>#N/A</c:v>
                </c:pt>
                <c:pt idx="123">
                  <c:v>#N/A</c:v>
                </c:pt>
                <c:pt idx="124">
                  <c:v>1</c:v>
                </c:pt>
                <c:pt idx="125">
                  <c:v>1</c:v>
                </c:pt>
                <c:pt idx="126">
                  <c:v>#N/A</c:v>
                </c:pt>
                <c:pt idx="127">
                  <c:v>#N/A</c:v>
                </c:pt>
                <c:pt idx="128">
                  <c:v>1</c:v>
                </c:pt>
                <c:pt idx="129">
                  <c:v>1</c:v>
                </c:pt>
                <c:pt idx="130">
                  <c:v>1</c:v>
                </c:pt>
                <c:pt idx="131">
                  <c:v>#N/A</c:v>
                </c:pt>
                <c:pt idx="132">
                  <c:v>#N/A</c:v>
                </c:pt>
                <c:pt idx="133">
                  <c:v>#N/A</c:v>
                </c:pt>
                <c:pt idx="134">
                  <c:v>#N/A</c:v>
                </c:pt>
                <c:pt idx="135">
                  <c:v>2</c:v>
                </c:pt>
                <c:pt idx="136">
                  <c:v>1</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0-4096-4E18-97DD-8DF0863D86FF}"/>
            </c:ext>
          </c:extLst>
        </c:ser>
        <c:ser>
          <c:idx val="1"/>
          <c:order val="1"/>
          <c:tx>
            <c:v>RX</c:v>
          </c:tx>
          <c:spPr>
            <a:ln w="25400" cap="rnd">
              <a:noFill/>
              <a:round/>
            </a:ln>
            <a:effectLst/>
          </c:spPr>
          <c:marker>
            <c:symbol val="circle"/>
            <c:size val="7"/>
            <c:spPr>
              <a:solidFill>
                <a:schemeClr val="accent4">
                  <a:alpha val="50000"/>
                </a:schemeClr>
              </a:solidFill>
              <a:ln w="9525">
                <a:no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Plot_Data_Integration!$J$2:$J$147</c:f>
              <c:numCache>
                <c:formatCode>General</c:formatCode>
                <c:ptCount val="146"/>
                <c:pt idx="0">
                  <c:v>#N/A</c:v>
                </c:pt>
                <c:pt idx="1">
                  <c:v>#N/A</c:v>
                </c:pt>
                <c:pt idx="2">
                  <c:v>#N/A</c:v>
                </c:pt>
                <c:pt idx="3">
                  <c:v>1</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1</c:v>
                </c:pt>
                <c:pt idx="23">
                  <c:v>#N/A</c:v>
                </c:pt>
                <c:pt idx="24">
                  <c:v>#N/A</c:v>
                </c:pt>
                <c:pt idx="25">
                  <c:v>#N/A</c:v>
                </c:pt>
                <c:pt idx="26">
                  <c:v>1</c:v>
                </c:pt>
                <c:pt idx="27">
                  <c:v>1</c:v>
                </c:pt>
                <c:pt idx="28">
                  <c:v>#N/A</c:v>
                </c:pt>
                <c:pt idx="29">
                  <c:v>#N/A</c:v>
                </c:pt>
                <c:pt idx="30">
                  <c:v>#N/A</c:v>
                </c:pt>
                <c:pt idx="31">
                  <c:v>#N/A</c:v>
                </c:pt>
                <c:pt idx="32">
                  <c:v>#N/A</c:v>
                </c:pt>
                <c:pt idx="33">
                  <c:v>#N/A</c:v>
                </c:pt>
                <c:pt idx="34">
                  <c:v>#N/A</c:v>
                </c:pt>
                <c:pt idx="35">
                  <c:v>2</c:v>
                </c:pt>
                <c:pt idx="36">
                  <c:v>#N/A</c:v>
                </c:pt>
                <c:pt idx="37">
                  <c:v>#N/A</c:v>
                </c:pt>
                <c:pt idx="38">
                  <c:v>1</c:v>
                </c:pt>
                <c:pt idx="39">
                  <c:v>1</c:v>
                </c:pt>
                <c:pt idx="40">
                  <c:v>#N/A</c:v>
                </c:pt>
                <c:pt idx="41">
                  <c:v>#N/A</c:v>
                </c:pt>
                <c:pt idx="42">
                  <c:v>1</c:v>
                </c:pt>
                <c:pt idx="43">
                  <c:v>1</c:v>
                </c:pt>
                <c:pt idx="44">
                  <c:v>#N/A</c:v>
                </c:pt>
                <c:pt idx="45">
                  <c:v>#N/A</c:v>
                </c:pt>
                <c:pt idx="46">
                  <c:v>#N/A</c:v>
                </c:pt>
                <c:pt idx="47">
                  <c:v>#N/A</c:v>
                </c:pt>
                <c:pt idx="48">
                  <c:v>#N/A</c:v>
                </c:pt>
                <c:pt idx="49">
                  <c:v>#N/A</c:v>
                </c:pt>
                <c:pt idx="50">
                  <c:v>#N/A</c:v>
                </c:pt>
                <c:pt idx="51">
                  <c:v>#N/A</c:v>
                </c:pt>
                <c:pt idx="52">
                  <c:v>#N/A</c:v>
                </c:pt>
                <c:pt idx="53">
                  <c:v>#N/A</c:v>
                </c:pt>
                <c:pt idx="54">
                  <c:v>1</c:v>
                </c:pt>
                <c:pt idx="55">
                  <c:v>#N/A</c:v>
                </c:pt>
                <c:pt idx="56">
                  <c:v>#N/A</c:v>
                </c:pt>
                <c:pt idx="57">
                  <c:v>1</c:v>
                </c:pt>
                <c:pt idx="58">
                  <c:v>#N/A</c:v>
                </c:pt>
                <c:pt idx="59">
                  <c:v>#N/A</c:v>
                </c:pt>
                <c:pt idx="60">
                  <c:v>#N/A</c:v>
                </c:pt>
                <c:pt idx="61">
                  <c:v>#N/A</c:v>
                </c:pt>
                <c:pt idx="62">
                  <c:v>1</c:v>
                </c:pt>
                <c:pt idx="63">
                  <c:v>#N/A</c:v>
                </c:pt>
                <c:pt idx="64">
                  <c:v>#N/A</c:v>
                </c:pt>
                <c:pt idx="65">
                  <c:v>#N/A</c:v>
                </c:pt>
                <c:pt idx="66">
                  <c:v>#N/A</c:v>
                </c:pt>
                <c:pt idx="67">
                  <c:v>#N/A</c:v>
                </c:pt>
                <c:pt idx="68">
                  <c:v>#N/A</c:v>
                </c:pt>
                <c:pt idx="69">
                  <c:v>2</c:v>
                </c:pt>
                <c:pt idx="70">
                  <c:v>#N/A</c:v>
                </c:pt>
                <c:pt idx="71">
                  <c:v>#N/A</c:v>
                </c:pt>
                <c:pt idx="72">
                  <c:v>#N/A</c:v>
                </c:pt>
                <c:pt idx="73">
                  <c:v>#N/A</c:v>
                </c:pt>
                <c:pt idx="74">
                  <c:v>2</c:v>
                </c:pt>
                <c:pt idx="75">
                  <c:v>1</c:v>
                </c:pt>
                <c:pt idx="76">
                  <c:v>#N/A</c:v>
                </c:pt>
                <c:pt idx="77">
                  <c:v>2</c:v>
                </c:pt>
                <c:pt idx="78">
                  <c:v>#N/A</c:v>
                </c:pt>
                <c:pt idx="79">
                  <c:v>#N/A</c:v>
                </c:pt>
                <c:pt idx="80">
                  <c:v>#N/A</c:v>
                </c:pt>
                <c:pt idx="81">
                  <c:v>#N/A</c:v>
                </c:pt>
                <c:pt idx="82">
                  <c:v>#N/A</c:v>
                </c:pt>
                <c:pt idx="83">
                  <c:v>#N/A</c:v>
                </c:pt>
                <c:pt idx="84">
                  <c:v>#N/A</c:v>
                </c:pt>
                <c:pt idx="85">
                  <c:v>1</c:v>
                </c:pt>
                <c:pt idx="86">
                  <c:v>1</c:v>
                </c:pt>
                <c:pt idx="87">
                  <c:v>#N/A</c:v>
                </c:pt>
                <c:pt idx="88">
                  <c:v>#N/A</c:v>
                </c:pt>
                <c:pt idx="89">
                  <c:v>#N/A</c:v>
                </c:pt>
                <c:pt idx="90">
                  <c:v>#N/A</c:v>
                </c:pt>
                <c:pt idx="91">
                  <c:v>1</c:v>
                </c:pt>
                <c:pt idx="92">
                  <c:v>1</c:v>
                </c:pt>
                <c:pt idx="93">
                  <c:v>1</c:v>
                </c:pt>
                <c:pt idx="94">
                  <c:v>#N/A</c:v>
                </c:pt>
                <c:pt idx="95">
                  <c:v>#N/A</c:v>
                </c:pt>
                <c:pt idx="96">
                  <c:v>#N/A</c:v>
                </c:pt>
                <c:pt idx="97">
                  <c:v>#N/A</c:v>
                </c:pt>
                <c:pt idx="98">
                  <c:v>#N/A</c:v>
                </c:pt>
                <c:pt idx="99">
                  <c:v>1</c:v>
                </c:pt>
                <c:pt idx="100">
                  <c:v>#N/A</c:v>
                </c:pt>
                <c:pt idx="101">
                  <c:v>#N/A</c:v>
                </c:pt>
                <c:pt idx="102">
                  <c:v>#N/A</c:v>
                </c:pt>
                <c:pt idx="103">
                  <c:v>#N/A</c:v>
                </c:pt>
                <c:pt idx="104">
                  <c:v>#N/A</c:v>
                </c:pt>
                <c:pt idx="105">
                  <c:v>#N/A</c:v>
                </c:pt>
                <c:pt idx="106">
                  <c:v>#N/A</c:v>
                </c:pt>
                <c:pt idx="107">
                  <c:v>#N/A</c:v>
                </c:pt>
                <c:pt idx="108">
                  <c:v>#N/A</c:v>
                </c:pt>
                <c:pt idx="109">
                  <c:v>1</c:v>
                </c:pt>
                <c:pt idx="110">
                  <c:v>#N/A</c:v>
                </c:pt>
                <c:pt idx="111">
                  <c:v>#N/A</c:v>
                </c:pt>
                <c:pt idx="112">
                  <c:v>1</c:v>
                </c:pt>
                <c:pt idx="113">
                  <c:v>#N/A</c:v>
                </c:pt>
                <c:pt idx="114">
                  <c:v>1</c:v>
                </c:pt>
                <c:pt idx="115">
                  <c:v>#N/A</c:v>
                </c:pt>
                <c:pt idx="116">
                  <c:v>1</c:v>
                </c:pt>
                <c:pt idx="117">
                  <c:v>1</c:v>
                </c:pt>
                <c:pt idx="118">
                  <c:v>1</c:v>
                </c:pt>
                <c:pt idx="119">
                  <c:v>1</c:v>
                </c:pt>
                <c:pt idx="120">
                  <c:v>1</c:v>
                </c:pt>
                <c:pt idx="121">
                  <c:v>1</c:v>
                </c:pt>
                <c:pt idx="122">
                  <c:v>#N/A</c:v>
                </c:pt>
                <c:pt idx="123">
                  <c:v>2</c:v>
                </c:pt>
                <c:pt idx="124">
                  <c:v>#N/A</c:v>
                </c:pt>
                <c:pt idx="125">
                  <c:v>#N/A</c:v>
                </c:pt>
                <c:pt idx="126">
                  <c:v>#N/A</c:v>
                </c:pt>
                <c:pt idx="127">
                  <c:v>#N/A</c:v>
                </c:pt>
                <c:pt idx="128">
                  <c:v>#N/A</c:v>
                </c:pt>
                <c:pt idx="129">
                  <c:v>#N/A</c:v>
                </c:pt>
                <c:pt idx="130">
                  <c:v>#N/A</c:v>
                </c:pt>
                <c:pt idx="131">
                  <c:v>#N/A</c:v>
                </c:pt>
                <c:pt idx="132">
                  <c:v>1</c:v>
                </c:pt>
                <c:pt idx="133">
                  <c:v>2</c:v>
                </c:pt>
                <c:pt idx="134">
                  <c:v>#N/A</c:v>
                </c:pt>
                <c:pt idx="135">
                  <c:v>#N/A</c:v>
                </c:pt>
                <c:pt idx="136">
                  <c:v>#N/A</c:v>
                </c:pt>
                <c:pt idx="137">
                  <c:v>1</c:v>
                </c:pt>
                <c:pt idx="138">
                  <c:v>#N/A</c:v>
                </c:pt>
                <c:pt idx="139">
                  <c:v>#N/A</c:v>
                </c:pt>
                <c:pt idx="140">
                  <c:v>#N/A</c:v>
                </c:pt>
                <c:pt idx="141">
                  <c:v>#N/A</c:v>
                </c:pt>
                <c:pt idx="142">
                  <c:v>#N/A</c:v>
                </c:pt>
                <c:pt idx="143">
                  <c:v>1</c:v>
                </c:pt>
                <c:pt idx="144">
                  <c:v>#N/A</c:v>
                </c:pt>
                <c:pt idx="145">
                  <c:v>#N/A</c:v>
                </c:pt>
              </c:numCache>
            </c:numRef>
          </c:yVal>
          <c:smooth val="0"/>
          <c:extLst>
            <c:ext xmlns:c16="http://schemas.microsoft.com/office/drawing/2014/chart" uri="{C3380CC4-5D6E-409C-BE32-E72D297353CC}">
              <c16:uniqueId val="{00000001-4096-4E18-97DD-8DF0863D86FF}"/>
            </c:ext>
          </c:extLst>
        </c:ser>
        <c:ser>
          <c:idx val="2"/>
          <c:order val="2"/>
          <c:tx>
            <c:v>TRX</c:v>
          </c:tx>
          <c:spPr>
            <a:ln w="25400" cap="rnd">
              <a:noFill/>
              <a:round/>
            </a:ln>
            <a:effectLst/>
          </c:spPr>
          <c:marker>
            <c:symbol val="circle"/>
            <c:size val="7"/>
            <c:spPr>
              <a:solidFill>
                <a:srgbClr val="7030A0">
                  <a:alpha val="50000"/>
                </a:srgbClr>
              </a:solidFill>
              <a:ln w="9525">
                <a:no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Plot_Data_Integration!$K$2:$K$147</c:f>
              <c:numCache>
                <c:formatCode>General</c:formatCode>
                <c:ptCount val="146"/>
                <c:pt idx="0">
                  <c:v>#N/A</c:v>
                </c:pt>
                <c:pt idx="1">
                  <c:v>2</c:v>
                </c:pt>
                <c:pt idx="2">
                  <c:v>2</c:v>
                </c:pt>
                <c:pt idx="3">
                  <c:v>#N/A</c:v>
                </c:pt>
                <c:pt idx="4">
                  <c:v>#N/A</c:v>
                </c:pt>
                <c:pt idx="5">
                  <c:v>#N/A</c:v>
                </c:pt>
                <c:pt idx="6">
                  <c:v>#N/A</c:v>
                </c:pt>
                <c:pt idx="7">
                  <c:v>#N/A</c:v>
                </c:pt>
                <c:pt idx="8">
                  <c:v>2</c:v>
                </c:pt>
                <c:pt idx="9">
                  <c:v>4</c:v>
                </c:pt>
                <c:pt idx="10">
                  <c:v>3</c:v>
                </c:pt>
                <c:pt idx="11">
                  <c:v>#N/A</c:v>
                </c:pt>
                <c:pt idx="12">
                  <c:v>#N/A</c:v>
                </c:pt>
                <c:pt idx="13">
                  <c:v>2</c:v>
                </c:pt>
                <c:pt idx="14">
                  <c:v>2</c:v>
                </c:pt>
                <c:pt idx="15">
                  <c:v>2</c:v>
                </c:pt>
                <c:pt idx="16">
                  <c:v>#N/A</c:v>
                </c:pt>
                <c:pt idx="17">
                  <c:v>#N/A</c:v>
                </c:pt>
                <c:pt idx="18">
                  <c:v>#N/A</c:v>
                </c:pt>
                <c:pt idx="19">
                  <c:v>#N/A</c:v>
                </c:pt>
                <c:pt idx="20">
                  <c:v>4</c:v>
                </c:pt>
                <c:pt idx="21">
                  <c:v>#N/A</c:v>
                </c:pt>
                <c:pt idx="22">
                  <c:v>#N/A</c:v>
                </c:pt>
                <c:pt idx="23">
                  <c:v>#N/A</c:v>
                </c:pt>
                <c:pt idx="24">
                  <c:v>2</c:v>
                </c:pt>
                <c:pt idx="25">
                  <c:v>2</c:v>
                </c:pt>
                <c:pt idx="26">
                  <c:v>#N/A</c:v>
                </c:pt>
                <c:pt idx="27">
                  <c:v>#N/A</c:v>
                </c:pt>
                <c:pt idx="28">
                  <c:v>4</c:v>
                </c:pt>
                <c:pt idx="29">
                  <c:v>2</c:v>
                </c:pt>
                <c:pt idx="30">
                  <c:v>2</c:v>
                </c:pt>
                <c:pt idx="31">
                  <c:v>2</c:v>
                </c:pt>
                <c:pt idx="32">
                  <c:v>#N/A</c:v>
                </c:pt>
                <c:pt idx="33">
                  <c:v>2</c:v>
                </c:pt>
                <c:pt idx="34">
                  <c:v>#N/A</c:v>
                </c:pt>
                <c:pt idx="35">
                  <c:v>#N/A</c:v>
                </c:pt>
                <c:pt idx="36">
                  <c:v>#N/A</c:v>
                </c:pt>
                <c:pt idx="37">
                  <c:v>2</c:v>
                </c:pt>
                <c:pt idx="38">
                  <c:v>#N/A</c:v>
                </c:pt>
                <c:pt idx="39">
                  <c:v>#N/A</c:v>
                </c:pt>
                <c:pt idx="40">
                  <c:v>2</c:v>
                </c:pt>
                <c:pt idx="41">
                  <c:v>2</c:v>
                </c:pt>
                <c:pt idx="42">
                  <c:v>#N/A</c:v>
                </c:pt>
                <c:pt idx="43">
                  <c:v>#N/A</c:v>
                </c:pt>
                <c:pt idx="44">
                  <c:v>2</c:v>
                </c:pt>
                <c:pt idx="45">
                  <c:v>2</c:v>
                </c:pt>
                <c:pt idx="46">
                  <c:v>#N/A</c:v>
                </c:pt>
                <c:pt idx="47">
                  <c:v>#N/A</c:v>
                </c:pt>
                <c:pt idx="48">
                  <c:v>#N/A</c:v>
                </c:pt>
                <c:pt idx="49">
                  <c:v>#N/A</c:v>
                </c:pt>
                <c:pt idx="50">
                  <c:v>#N/A</c:v>
                </c:pt>
                <c:pt idx="51">
                  <c:v>2</c:v>
                </c:pt>
                <c:pt idx="52">
                  <c:v>2</c:v>
                </c:pt>
                <c:pt idx="53">
                  <c:v>2</c:v>
                </c:pt>
                <c:pt idx="54">
                  <c:v>#N/A</c:v>
                </c:pt>
                <c:pt idx="55">
                  <c:v>#N/A</c:v>
                </c:pt>
                <c:pt idx="56">
                  <c:v>#N/A</c:v>
                </c:pt>
                <c:pt idx="57">
                  <c:v>#N/A</c:v>
                </c:pt>
                <c:pt idx="58">
                  <c:v>4</c:v>
                </c:pt>
                <c:pt idx="59">
                  <c:v>2</c:v>
                </c:pt>
                <c:pt idx="60">
                  <c:v>2</c:v>
                </c:pt>
                <c:pt idx="61">
                  <c:v>#N/A</c:v>
                </c:pt>
                <c:pt idx="62">
                  <c:v>#N/A</c:v>
                </c:pt>
                <c:pt idx="63">
                  <c:v>#N/A</c:v>
                </c:pt>
                <c:pt idx="64">
                  <c:v>2</c:v>
                </c:pt>
                <c:pt idx="65">
                  <c:v>#N/A</c:v>
                </c:pt>
                <c:pt idx="66">
                  <c:v>#N/A</c:v>
                </c:pt>
                <c:pt idx="67">
                  <c:v>2</c:v>
                </c:pt>
                <c:pt idx="68">
                  <c:v>#N/A</c:v>
                </c:pt>
                <c:pt idx="69">
                  <c:v>#N/A</c:v>
                </c:pt>
                <c:pt idx="70">
                  <c:v>#N/A</c:v>
                </c:pt>
                <c:pt idx="71">
                  <c:v>#N/A</c:v>
                </c:pt>
                <c:pt idx="72">
                  <c:v>2</c:v>
                </c:pt>
                <c:pt idx="73">
                  <c:v>2</c:v>
                </c:pt>
                <c:pt idx="74">
                  <c:v>#N/A</c:v>
                </c:pt>
                <c:pt idx="75">
                  <c:v>#N/A</c:v>
                </c:pt>
                <c:pt idx="76">
                  <c:v>#N/A</c:v>
                </c:pt>
                <c:pt idx="77">
                  <c:v>#N/A</c:v>
                </c:pt>
                <c:pt idx="78">
                  <c:v>#N/A</c:v>
                </c:pt>
                <c:pt idx="79">
                  <c:v>#N/A</c:v>
                </c:pt>
                <c:pt idx="80">
                  <c:v>#N/A</c:v>
                </c:pt>
                <c:pt idx="81">
                  <c:v>#N/A</c:v>
                </c:pt>
                <c:pt idx="82">
                  <c:v>#N/A</c:v>
                </c:pt>
                <c:pt idx="83">
                  <c:v>2</c:v>
                </c:pt>
                <c:pt idx="84">
                  <c:v>#N/A</c:v>
                </c:pt>
                <c:pt idx="85">
                  <c:v>#N/A</c:v>
                </c:pt>
                <c:pt idx="86">
                  <c:v>#N/A</c:v>
                </c:pt>
                <c:pt idx="87">
                  <c:v>#N/A</c:v>
                </c:pt>
                <c:pt idx="88">
                  <c:v>2</c:v>
                </c:pt>
                <c:pt idx="89">
                  <c:v>4</c:v>
                </c:pt>
                <c:pt idx="90">
                  <c:v>4</c:v>
                </c:pt>
                <c:pt idx="91">
                  <c:v>#N/A</c:v>
                </c:pt>
                <c:pt idx="92">
                  <c:v>#N/A</c:v>
                </c:pt>
                <c:pt idx="93">
                  <c:v>#N/A</c:v>
                </c:pt>
                <c:pt idx="94">
                  <c:v>#N/A</c:v>
                </c:pt>
                <c:pt idx="95">
                  <c:v>#N/A</c:v>
                </c:pt>
                <c:pt idx="96">
                  <c:v>#N/A</c:v>
                </c:pt>
                <c:pt idx="97">
                  <c:v>#N/A</c:v>
                </c:pt>
                <c:pt idx="98">
                  <c:v>#N/A</c:v>
                </c:pt>
                <c:pt idx="99">
                  <c:v>#N/A</c:v>
                </c:pt>
                <c:pt idx="100">
                  <c:v>2</c:v>
                </c:pt>
                <c:pt idx="101">
                  <c:v>#N/A</c:v>
                </c:pt>
                <c:pt idx="102">
                  <c:v>#N/A</c:v>
                </c:pt>
                <c:pt idx="103">
                  <c:v>2</c:v>
                </c:pt>
                <c:pt idx="104">
                  <c:v>2</c:v>
                </c:pt>
                <c:pt idx="105">
                  <c:v>#N/A</c:v>
                </c:pt>
                <c:pt idx="106">
                  <c:v>#N/A</c:v>
                </c:pt>
                <c:pt idx="107">
                  <c:v>#N/A</c:v>
                </c:pt>
                <c:pt idx="108">
                  <c:v>#N/A</c:v>
                </c:pt>
                <c:pt idx="109">
                  <c:v>#N/A</c:v>
                </c:pt>
                <c:pt idx="110">
                  <c:v>4</c:v>
                </c:pt>
                <c:pt idx="111">
                  <c:v>#N/A</c:v>
                </c:pt>
                <c:pt idx="112">
                  <c:v>#N/A</c:v>
                </c:pt>
                <c:pt idx="113">
                  <c:v>2</c:v>
                </c:pt>
                <c:pt idx="114">
                  <c:v>#N/A</c:v>
                </c:pt>
                <c:pt idx="115">
                  <c:v>#N/A</c:v>
                </c:pt>
                <c:pt idx="116">
                  <c:v>#N/A</c:v>
                </c:pt>
                <c:pt idx="117">
                  <c:v>#N/A</c:v>
                </c:pt>
                <c:pt idx="118">
                  <c:v>#N/A</c:v>
                </c:pt>
                <c:pt idx="119">
                  <c:v>#N/A</c:v>
                </c:pt>
                <c:pt idx="120">
                  <c:v>#N/A</c:v>
                </c:pt>
                <c:pt idx="121">
                  <c:v>#N/A</c:v>
                </c:pt>
                <c:pt idx="122">
                  <c:v>2</c:v>
                </c:pt>
                <c:pt idx="123">
                  <c:v>#N/A</c:v>
                </c:pt>
                <c:pt idx="124">
                  <c:v>#N/A</c:v>
                </c:pt>
                <c:pt idx="125">
                  <c:v>#N/A</c:v>
                </c:pt>
                <c:pt idx="126">
                  <c:v>2</c:v>
                </c:pt>
                <c:pt idx="127">
                  <c:v>2</c:v>
                </c:pt>
                <c:pt idx="128">
                  <c:v>#N/A</c:v>
                </c:pt>
                <c:pt idx="129">
                  <c:v>#N/A</c:v>
                </c:pt>
                <c:pt idx="130">
                  <c:v>#N/A</c:v>
                </c:pt>
                <c:pt idx="131">
                  <c:v>#N/A</c:v>
                </c:pt>
                <c:pt idx="132">
                  <c:v>#N/A</c:v>
                </c:pt>
                <c:pt idx="133">
                  <c:v>#N/A</c:v>
                </c:pt>
                <c:pt idx="134">
                  <c:v>#N/A</c:v>
                </c:pt>
                <c:pt idx="135">
                  <c:v>#N/A</c:v>
                </c:pt>
                <c:pt idx="136">
                  <c:v>#N/A</c:v>
                </c:pt>
                <c:pt idx="137">
                  <c:v>#N/A</c:v>
                </c:pt>
                <c:pt idx="138">
                  <c:v>#N/A</c:v>
                </c:pt>
                <c:pt idx="139">
                  <c:v>2</c:v>
                </c:pt>
                <c:pt idx="140">
                  <c:v>2</c:v>
                </c:pt>
                <c:pt idx="141">
                  <c:v>2</c:v>
                </c:pt>
                <c:pt idx="142">
                  <c:v>#N/A</c:v>
                </c:pt>
                <c:pt idx="143">
                  <c:v>#N/A</c:v>
                </c:pt>
                <c:pt idx="144">
                  <c:v>2</c:v>
                </c:pt>
                <c:pt idx="145">
                  <c:v>#N/A</c:v>
                </c:pt>
              </c:numCache>
            </c:numRef>
          </c:yVal>
          <c:smooth val="0"/>
          <c:extLst>
            <c:ext xmlns:c16="http://schemas.microsoft.com/office/drawing/2014/chart" uri="{C3380CC4-5D6E-409C-BE32-E72D297353CC}">
              <c16:uniqueId val="{00000002-4096-4E18-97DD-8DF0863D86FF}"/>
            </c:ext>
          </c:extLst>
        </c:ser>
        <c:ser>
          <c:idx val="3"/>
          <c:order val="3"/>
          <c:tx>
            <c:v>Oscillator</c:v>
          </c:tx>
          <c:spPr>
            <a:ln w="25400" cap="rnd">
              <a:noFill/>
              <a:round/>
            </a:ln>
            <a:effectLst/>
          </c:spPr>
          <c:marker>
            <c:symbol val="circle"/>
            <c:size val="7"/>
            <c:spPr>
              <a:solidFill>
                <a:srgbClr val="00B050">
                  <a:alpha val="50000"/>
                </a:srgbClr>
              </a:solidFill>
              <a:ln w="9525">
                <a:no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Plot_Data_Integration!$L$2:$L$147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2</c:v>
                </c:pt>
                <c:pt idx="13">
                  <c:v>#N/A</c:v>
                </c:pt>
                <c:pt idx="14">
                  <c:v>#N/A</c:v>
                </c:pt>
                <c:pt idx="15">
                  <c:v>#N/A</c:v>
                </c:pt>
                <c:pt idx="16">
                  <c:v>#N/A</c:v>
                </c:pt>
                <c:pt idx="17">
                  <c:v>#N/A</c:v>
                </c:pt>
                <c:pt idx="18">
                  <c:v>#N/A</c:v>
                </c:pt>
                <c:pt idx="19">
                  <c:v>#N/A</c:v>
                </c:pt>
                <c:pt idx="20">
                  <c:v>#N/A</c:v>
                </c:pt>
                <c:pt idx="21">
                  <c:v>#N/A</c:v>
                </c:pt>
                <c:pt idx="22">
                  <c:v>#N/A</c:v>
                </c:pt>
                <c:pt idx="23">
                  <c:v>2</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1</c:v>
                </c:pt>
                <c:pt idx="47">
                  <c:v>1</c:v>
                </c:pt>
                <c:pt idx="48">
                  <c:v>1</c:v>
                </c:pt>
                <c:pt idx="49">
                  <c:v>1</c:v>
                </c:pt>
                <c:pt idx="50">
                  <c:v>1</c:v>
                </c:pt>
                <c:pt idx="51">
                  <c:v>#N/A</c:v>
                </c:pt>
                <c:pt idx="52">
                  <c:v>#N/A</c:v>
                </c:pt>
                <c:pt idx="53">
                  <c:v>#N/A</c:v>
                </c:pt>
                <c:pt idx="54">
                  <c:v>#N/A</c:v>
                </c:pt>
                <c:pt idx="55">
                  <c:v>#N/A</c:v>
                </c:pt>
                <c:pt idx="56">
                  <c:v>#N/A</c:v>
                </c:pt>
                <c:pt idx="57">
                  <c:v>#N/A</c:v>
                </c:pt>
                <c:pt idx="58">
                  <c:v>#N/A</c:v>
                </c:pt>
                <c:pt idx="59">
                  <c:v>#N/A</c:v>
                </c:pt>
                <c:pt idx="60">
                  <c:v>#N/A</c:v>
                </c:pt>
                <c:pt idx="61">
                  <c:v>#N/A</c:v>
                </c:pt>
                <c:pt idx="62">
                  <c:v>#N/A</c:v>
                </c:pt>
                <c:pt idx="63">
                  <c:v>1</c:v>
                </c:pt>
                <c:pt idx="64">
                  <c:v>#N/A</c:v>
                </c:pt>
                <c:pt idx="65">
                  <c:v>1</c:v>
                </c:pt>
                <c:pt idx="66">
                  <c:v>1</c:v>
                </c:pt>
                <c:pt idx="67">
                  <c:v>#N/A</c:v>
                </c:pt>
                <c:pt idx="68">
                  <c:v>#N/A</c:v>
                </c:pt>
                <c:pt idx="69">
                  <c:v>#N/A</c:v>
                </c:pt>
                <c:pt idx="70">
                  <c:v>#N/A</c:v>
                </c:pt>
                <c:pt idx="71">
                  <c:v>#N/A</c:v>
                </c:pt>
                <c:pt idx="72">
                  <c:v>#N/A</c:v>
                </c:pt>
                <c:pt idx="73">
                  <c:v>#N/A</c:v>
                </c:pt>
                <c:pt idx="74">
                  <c:v>#N/A</c:v>
                </c:pt>
                <c:pt idx="75">
                  <c:v>#N/A</c:v>
                </c:pt>
                <c:pt idx="76">
                  <c:v>#N/A</c:v>
                </c:pt>
                <c:pt idx="77">
                  <c:v>#N/A</c:v>
                </c:pt>
                <c:pt idx="78">
                  <c:v>1</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2</c:v>
                </c:pt>
                <c:pt idx="95">
                  <c:v>#N/A</c:v>
                </c:pt>
                <c:pt idx="96">
                  <c:v>#N/A</c:v>
                </c:pt>
                <c:pt idx="97">
                  <c:v>#N/A</c:v>
                </c:pt>
                <c:pt idx="98">
                  <c:v>#N/A</c:v>
                </c:pt>
                <c:pt idx="99">
                  <c:v>#N/A</c:v>
                </c:pt>
                <c:pt idx="100">
                  <c:v>#N/A</c:v>
                </c:pt>
                <c:pt idx="101">
                  <c:v>1</c:v>
                </c:pt>
                <c:pt idx="102">
                  <c:v>#N/A</c:v>
                </c:pt>
                <c:pt idx="103">
                  <c:v>#N/A</c:v>
                </c:pt>
                <c:pt idx="104">
                  <c:v>#N/A</c:v>
                </c:pt>
                <c:pt idx="105">
                  <c:v>#N/A</c:v>
                </c:pt>
                <c:pt idx="106">
                  <c:v>1</c:v>
                </c:pt>
                <c:pt idx="107">
                  <c:v>1</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1</c:v>
                </c:pt>
                <c:pt idx="132">
                  <c:v>#N/A</c:v>
                </c:pt>
                <c:pt idx="133">
                  <c:v>#N/A</c:v>
                </c:pt>
                <c:pt idx="134">
                  <c:v>1</c:v>
                </c:pt>
                <c:pt idx="135">
                  <c:v>#N/A</c:v>
                </c:pt>
                <c:pt idx="136">
                  <c:v>#N/A</c:v>
                </c:pt>
                <c:pt idx="137">
                  <c:v>#N/A</c:v>
                </c:pt>
                <c:pt idx="138">
                  <c:v>#N/A</c:v>
                </c:pt>
                <c:pt idx="139">
                  <c:v>#N/A</c:v>
                </c:pt>
                <c:pt idx="140">
                  <c:v>#N/A</c:v>
                </c:pt>
                <c:pt idx="141">
                  <c:v>#N/A</c:v>
                </c:pt>
                <c:pt idx="142">
                  <c:v>#N/A</c:v>
                </c:pt>
                <c:pt idx="143">
                  <c:v>#N/A</c:v>
                </c:pt>
                <c:pt idx="144">
                  <c:v>#N/A</c:v>
                </c:pt>
                <c:pt idx="145">
                  <c:v>#N/A</c:v>
                </c:pt>
              </c:numCache>
            </c:numRef>
          </c:yVal>
          <c:smooth val="0"/>
          <c:extLst>
            <c:ext xmlns:c16="http://schemas.microsoft.com/office/drawing/2014/chart" uri="{C3380CC4-5D6E-409C-BE32-E72D297353CC}">
              <c16:uniqueId val="{00000003-4096-4E18-97DD-8DF0863D86FF}"/>
            </c:ext>
          </c:extLst>
        </c:ser>
        <c:ser>
          <c:idx val="4"/>
          <c:order val="4"/>
          <c:tx>
            <c:v>Relay</c:v>
          </c:tx>
          <c:spPr>
            <a:ln w="25400" cap="rnd">
              <a:noFill/>
              <a:round/>
            </a:ln>
            <a:effectLst/>
          </c:spPr>
          <c:marker>
            <c:symbol val="circle"/>
            <c:size val="7"/>
            <c:spPr>
              <a:solidFill>
                <a:srgbClr val="00B0F0">
                  <a:alpha val="50000"/>
                </a:srgbClr>
              </a:solidFill>
              <a:ln w="9525">
                <a:no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Plot_Data_Integration!$M$2:$M$147</c:f>
              <c:numCache>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2</c:v>
                </c:pt>
                <c:pt idx="85">
                  <c:v>#N/A</c:v>
                </c:pt>
                <c:pt idx="86">
                  <c:v>#N/A</c:v>
                </c:pt>
                <c:pt idx="87">
                  <c:v>#N/A</c:v>
                </c:pt>
                <c:pt idx="88">
                  <c:v>#N/A</c:v>
                </c:pt>
                <c:pt idx="89">
                  <c:v>#N/A</c:v>
                </c:pt>
                <c:pt idx="90">
                  <c:v>#N/A</c:v>
                </c:pt>
                <c:pt idx="91">
                  <c:v>#N/A</c:v>
                </c:pt>
                <c:pt idx="92">
                  <c:v>#N/A</c:v>
                </c:pt>
                <c:pt idx="93">
                  <c:v>#N/A</c:v>
                </c:pt>
                <c:pt idx="94">
                  <c:v>#N/A</c:v>
                </c:pt>
                <c:pt idx="95">
                  <c:v>#N/A</c:v>
                </c:pt>
                <c:pt idx="96">
                  <c:v>#N/A</c:v>
                </c:pt>
                <c:pt idx="97">
                  <c:v>2</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2</c:v>
                </c:pt>
                <c:pt idx="139">
                  <c:v>#N/A</c:v>
                </c:pt>
                <c:pt idx="140">
                  <c:v>#N/A</c:v>
                </c:pt>
                <c:pt idx="141">
                  <c:v>#N/A</c:v>
                </c:pt>
                <c:pt idx="142">
                  <c:v>2</c:v>
                </c:pt>
                <c:pt idx="143">
                  <c:v>#N/A</c:v>
                </c:pt>
                <c:pt idx="144">
                  <c:v>#N/A</c:v>
                </c:pt>
                <c:pt idx="145">
                  <c:v>#N/A</c:v>
                </c:pt>
              </c:numCache>
            </c:numRef>
          </c:yVal>
          <c:smooth val="0"/>
          <c:extLst>
            <c:ext xmlns:c16="http://schemas.microsoft.com/office/drawing/2014/chart" uri="{C3380CC4-5D6E-409C-BE32-E72D297353CC}">
              <c16:uniqueId val="{00000004-4096-4E18-97DD-8DF0863D86FF}"/>
            </c:ext>
          </c:extLst>
        </c:ser>
        <c:dLbls>
          <c:showLegendKey val="0"/>
          <c:showVal val="0"/>
          <c:showCatName val="0"/>
          <c:showSerName val="0"/>
          <c:showPercent val="0"/>
          <c:showBubbleSize val="0"/>
        </c:dLbls>
        <c:axId val="249305247"/>
        <c:axId val="249087183"/>
      </c:scatterChart>
      <c:valAx>
        <c:axId val="249305247"/>
        <c:scaling>
          <c:orientation val="minMax"/>
          <c:max val="500"/>
        </c:scaling>
        <c:delete val="0"/>
        <c:axPos val="b"/>
        <c:majorGridlines>
          <c:spPr>
            <a:ln w="158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087183"/>
        <c:crosses val="autoZero"/>
        <c:crossBetween val="midCat"/>
        <c:majorUnit val="50"/>
      </c:valAx>
      <c:valAx>
        <c:axId val="249087183"/>
        <c:scaling>
          <c:orientation val="minMax"/>
          <c:max val="4"/>
        </c:scaling>
        <c:delete val="0"/>
        <c:axPos val="l"/>
        <c:majorGridlines>
          <c:spPr>
            <a:ln w="158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Signal Chains for each Antenna</a:t>
                </a:r>
                <a:r>
                  <a:rPr lang="en-US" baseline="0"/>
                  <a:t> / IC</a:t>
                </a:r>
                <a:endParaRPr lang="en-US"/>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305247"/>
        <c:crosses val="autoZero"/>
        <c:crossBetween val="midCat"/>
        <c:majorUnit val="1"/>
        <c:minorUnit val="1"/>
      </c:valAx>
      <c:spPr>
        <a:noFill/>
        <a:ln w="25400">
          <a:solidFill>
            <a:schemeClr val="tx1"/>
          </a:solidFill>
        </a:ln>
        <a:effectLst/>
      </c:spPr>
    </c:plotArea>
    <c:legend>
      <c:legendPos val="t"/>
      <c:layout>
        <c:manualLayout>
          <c:xMode val="edge"/>
          <c:yMode val="edge"/>
          <c:x val="0.23899498395207264"/>
          <c:y val="0.67679404373825247"/>
          <c:w val="0.49803577973976021"/>
          <c:h val="6.6220346887253798E-2"/>
        </c:manualLayout>
      </c:layout>
      <c:overlay val="1"/>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r>
              <a:rPr lang="en-US"/>
              <a:t>DC-to-RF</a:t>
            </a:r>
            <a:r>
              <a:rPr lang="en-US" baseline="0"/>
              <a:t> Efficiency vs. Frequency</a:t>
            </a:r>
            <a:endParaRPr lang="en-US"/>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Narrow" panose="020B0606020202030204" pitchFamily="34" charset="0"/>
              <a:ea typeface="+mn-ea"/>
              <a:cs typeface="+mn-cs"/>
            </a:defRPr>
          </a:pPr>
          <a:endParaRPr lang="en-CH"/>
        </a:p>
      </c:txPr>
    </c:title>
    <c:autoTitleDeleted val="0"/>
    <c:plotArea>
      <c:layout>
        <c:manualLayout>
          <c:layoutTarget val="inner"/>
          <c:xMode val="edge"/>
          <c:yMode val="edge"/>
          <c:x val="0.14921300160060638"/>
          <c:y val="0.1655132371066812"/>
          <c:w val="0.72356958711379349"/>
          <c:h val="0.62126968928366488"/>
        </c:manualLayout>
      </c:layout>
      <c:scatterChart>
        <c:scatterStyle val="lineMarker"/>
        <c:varyColors val="0"/>
        <c:ser>
          <c:idx val="0"/>
          <c:order val="0"/>
          <c:tx>
            <c:v>Prad/dc</c:v>
          </c:tx>
          <c:spPr>
            <a:ln w="25400" cap="rnd">
              <a:noFill/>
              <a:round/>
            </a:ln>
            <a:effectLst/>
          </c:spPr>
          <c:marker>
            <c:symbol val="circle"/>
            <c:size val="7"/>
            <c:spPr>
              <a:solidFill>
                <a:srgbClr val="0000FF"/>
              </a:solidFill>
              <a:ln w="12700">
                <a:solidFill>
                  <a:schemeClr val="tx1"/>
                </a:solid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Plot_Data_Power!$F$2:$F$147</c:f>
              <c:numCache>
                <c:formatCode>General</c:formatCode>
                <c:ptCount val="146"/>
                <c:pt idx="0">
                  <c:v>3.583739108220537</c:v>
                </c:pt>
                <c:pt idx="1">
                  <c:v>#N/A</c:v>
                </c:pt>
                <c:pt idx="2">
                  <c:v>#N/A</c:v>
                </c:pt>
                <c:pt idx="3">
                  <c:v>#N/A</c:v>
                </c:pt>
                <c:pt idx="4">
                  <c:v>0.61302681992337194</c:v>
                </c:pt>
                <c:pt idx="5">
                  <c:v>#N/A</c:v>
                </c:pt>
                <c:pt idx="6">
                  <c:v>#N/A</c:v>
                </c:pt>
                <c:pt idx="7">
                  <c:v>#N/A</c:v>
                </c:pt>
                <c:pt idx="8">
                  <c:v>2.6352313834736503</c:v>
                </c:pt>
                <c:pt idx="9">
                  <c:v>3.9244786980169333</c:v>
                </c:pt>
                <c:pt idx="10">
                  <c:v>0.22998382983042762</c:v>
                </c:pt>
                <c:pt idx="11">
                  <c:v>#N/A</c:v>
                </c:pt>
                <c:pt idx="12">
                  <c:v>5.2781202348318124E-2</c:v>
                </c:pt>
                <c:pt idx="13">
                  <c:v>#N/A</c:v>
                </c:pt>
                <c:pt idx="14">
                  <c:v>#N/A</c:v>
                </c:pt>
                <c:pt idx="15">
                  <c:v>2.103191148267312</c:v>
                </c:pt>
                <c:pt idx="16">
                  <c:v>#N/A</c:v>
                </c:pt>
                <c:pt idx="17">
                  <c:v>1.3333333333333336E-2</c:v>
                </c:pt>
                <c:pt idx="18">
                  <c:v>1.824239830828692</c:v>
                </c:pt>
                <c:pt idx="19">
                  <c:v>1.5962098519751045</c:v>
                </c:pt>
                <c:pt idx="20">
                  <c:v>3.0856014994955099</c:v>
                </c:pt>
                <c:pt idx="21">
                  <c:v>0.10891473605909813</c:v>
                </c:pt>
                <c:pt idx="22">
                  <c:v>#N/A</c:v>
                </c:pt>
                <c:pt idx="23">
                  <c:v>#N/A</c:v>
                </c:pt>
                <c:pt idx="24">
                  <c:v>#N/A</c:v>
                </c:pt>
                <c:pt idx="25">
                  <c:v>0.53804519086221281</c:v>
                </c:pt>
                <c:pt idx="26">
                  <c:v>#N/A</c:v>
                </c:pt>
                <c:pt idx="27">
                  <c:v>#N/A</c:v>
                </c:pt>
                <c:pt idx="28">
                  <c:v>27.909849238995349</c:v>
                </c:pt>
                <c:pt idx="29">
                  <c:v>1.7142857142857162</c:v>
                </c:pt>
                <c:pt idx="30">
                  <c:v>#N/A</c:v>
                </c:pt>
                <c:pt idx="31">
                  <c:v>2.2943903435643405</c:v>
                </c:pt>
                <c:pt idx="32">
                  <c:v>#N/A</c:v>
                </c:pt>
                <c:pt idx="33">
                  <c:v>7.2040599657323385</c:v>
                </c:pt>
                <c:pt idx="34">
                  <c:v>3.1547622307558032</c:v>
                </c:pt>
                <c:pt idx="35">
                  <c:v>#N/A</c:v>
                </c:pt>
                <c:pt idx="36">
                  <c:v>#N/A</c:v>
                </c:pt>
                <c:pt idx="37">
                  <c:v>2.8250750892455101</c:v>
                </c:pt>
                <c:pt idx="38">
                  <c:v>#N/A</c:v>
                </c:pt>
                <c:pt idx="39">
                  <c:v>#N/A</c:v>
                </c:pt>
                <c:pt idx="40">
                  <c:v>4.2632253005418503</c:v>
                </c:pt>
                <c:pt idx="41">
                  <c:v>3.8649774911672437E-2</c:v>
                </c:pt>
                <c:pt idx="42">
                  <c:v>#N/A</c:v>
                </c:pt>
                <c:pt idx="43">
                  <c:v>#N/A</c:v>
                </c:pt>
                <c:pt idx="44">
                  <c:v>9.4616903795620217</c:v>
                </c:pt>
                <c:pt idx="45">
                  <c:v>2.2943903435643414</c:v>
                </c:pt>
                <c:pt idx="46">
                  <c:v>0.19000000000000003</c:v>
                </c:pt>
                <c:pt idx="47">
                  <c:v>8.006987420037201E-2</c:v>
                </c:pt>
                <c:pt idx="48">
                  <c:v>9.8344931104413294E-2</c:v>
                </c:pt>
                <c:pt idx="49">
                  <c:v>#N/A</c:v>
                </c:pt>
                <c:pt idx="50">
                  <c:v>2.4620952012888955E-2</c:v>
                </c:pt>
                <c:pt idx="51">
                  <c:v>2.5238293779207748</c:v>
                </c:pt>
                <c:pt idx="52">
                  <c:v>1.4779720851621345</c:v>
                </c:pt>
                <c:pt idx="53">
                  <c:v>0.95012491188994352</c:v>
                </c:pt>
                <c:pt idx="54">
                  <c:v>#N/A</c:v>
                </c:pt>
                <c:pt idx="55">
                  <c:v>0.25298521957250925</c:v>
                </c:pt>
                <c:pt idx="56">
                  <c:v>2.8939169273376901</c:v>
                </c:pt>
                <c:pt idx="57">
                  <c:v>#N/A</c:v>
                </c:pt>
                <c:pt idx="58">
                  <c:v>12.841018132128113</c:v>
                </c:pt>
                <c:pt idx="59">
                  <c:v>#N/A</c:v>
                </c:pt>
                <c:pt idx="60">
                  <c:v>11.709034428044061</c:v>
                </c:pt>
                <c:pt idx="61">
                  <c:v>4.1412020124808116E-2</c:v>
                </c:pt>
                <c:pt idx="62">
                  <c:v>#N/A</c:v>
                </c:pt>
                <c:pt idx="63">
                  <c:v>#N/A</c:v>
                </c:pt>
                <c:pt idx="64">
                  <c:v>#N/A</c:v>
                </c:pt>
                <c:pt idx="65">
                  <c:v>#N/A</c:v>
                </c:pt>
                <c:pt idx="66">
                  <c:v>#N/A</c:v>
                </c:pt>
                <c:pt idx="67">
                  <c:v>5.8900762040876721E-2</c:v>
                </c:pt>
                <c:pt idx="68">
                  <c:v>14.925373134328357</c:v>
                </c:pt>
                <c:pt idx="69">
                  <c:v>#N/A</c:v>
                </c:pt>
                <c:pt idx="70">
                  <c:v>5.282977308203721</c:v>
                </c:pt>
                <c:pt idx="71">
                  <c:v>#N/A</c:v>
                </c:pt>
                <c:pt idx="72">
                  <c:v>#N/A</c:v>
                </c:pt>
                <c:pt idx="73">
                  <c:v>8.7718255691454807</c:v>
                </c:pt>
                <c:pt idx="74">
                  <c:v>#N/A</c:v>
                </c:pt>
                <c:pt idx="75">
                  <c:v>#N/A</c:v>
                </c:pt>
                <c:pt idx="76">
                  <c:v>#N/A</c:v>
                </c:pt>
                <c:pt idx="77">
                  <c:v>#N/A</c:v>
                </c:pt>
                <c:pt idx="78">
                  <c:v>0.13793374418519838</c:v>
                </c:pt>
                <c:pt idx="79">
                  <c:v>21.031911482673149</c:v>
                </c:pt>
                <c:pt idx="80">
                  <c:v>6.3395727698444562</c:v>
                </c:pt>
                <c:pt idx="81">
                  <c:v>11.536126012506429</c:v>
                </c:pt>
                <c:pt idx="82">
                  <c:v>9.818835662740133</c:v>
                </c:pt>
                <c:pt idx="83">
                  <c:v>#N/A</c:v>
                </c:pt>
                <c:pt idx="84">
                  <c:v>#N/A</c:v>
                </c:pt>
                <c:pt idx="85">
                  <c:v>#N/A</c:v>
                </c:pt>
                <c:pt idx="86">
                  <c:v>#N/A</c:v>
                </c:pt>
                <c:pt idx="87">
                  <c:v>#N/A</c:v>
                </c:pt>
                <c:pt idx="88">
                  <c:v>2.9294594190142376</c:v>
                </c:pt>
                <c:pt idx="89">
                  <c:v>8.4480042964843136</c:v>
                </c:pt>
                <c:pt idx="90">
                  <c:v>5.7632479725858694</c:v>
                </c:pt>
                <c:pt idx="91">
                  <c:v>#N/A</c:v>
                </c:pt>
                <c:pt idx="92">
                  <c:v>#N/A</c:v>
                </c:pt>
                <c:pt idx="93">
                  <c:v>#N/A</c:v>
                </c:pt>
                <c:pt idx="94">
                  <c:v>#N/A</c:v>
                </c:pt>
                <c:pt idx="95">
                  <c:v>0.81649569053338422</c:v>
                </c:pt>
                <c:pt idx="96">
                  <c:v>4.3290043290043272</c:v>
                </c:pt>
                <c:pt idx="97">
                  <c:v>#N/A</c:v>
                </c:pt>
                <c:pt idx="98">
                  <c:v>5.9807290281551548</c:v>
                </c:pt>
                <c:pt idx="99">
                  <c:v>#N/A</c:v>
                </c:pt>
                <c:pt idx="100">
                  <c:v>23.196961194124789</c:v>
                </c:pt>
                <c:pt idx="101">
                  <c:v>6.296322030493369E-2</c:v>
                </c:pt>
                <c:pt idx="102">
                  <c:v>1.4960246057359528</c:v>
                </c:pt>
                <c:pt idx="103">
                  <c:v>8.6883116958769921E-2</c:v>
                </c:pt>
                <c:pt idx="104">
                  <c:v>8.6883116958769921E-2</c:v>
                </c:pt>
                <c:pt idx="105">
                  <c:v>6.1538461538461515</c:v>
                </c:pt>
                <c:pt idx="106">
                  <c:v>9.9491499634924915E-2</c:v>
                </c:pt>
                <c:pt idx="107">
                  <c:v>3.4564636801880842E-2</c:v>
                </c:pt>
                <c:pt idx="108">
                  <c:v>7.8496450984674393</c:v>
                </c:pt>
                <c:pt idx="109">
                  <c:v>#N/A</c:v>
                </c:pt>
                <c:pt idx="110">
                  <c:v>23.311034122198723</c:v>
                </c:pt>
                <c:pt idx="111">
                  <c:v>0.3265306122448981</c:v>
                </c:pt>
                <c:pt idx="112">
                  <c:v>#N/A</c:v>
                </c:pt>
                <c:pt idx="113">
                  <c:v>25.862110474144512</c:v>
                </c:pt>
                <c:pt idx="114">
                  <c:v>#N/A</c:v>
                </c:pt>
                <c:pt idx="115">
                  <c:v>#N/A</c:v>
                </c:pt>
                <c:pt idx="116">
                  <c:v>#N/A</c:v>
                </c:pt>
                <c:pt idx="117">
                  <c:v>#N/A</c:v>
                </c:pt>
                <c:pt idx="118">
                  <c:v>#N/A</c:v>
                </c:pt>
                <c:pt idx="119">
                  <c:v>#N/A</c:v>
                </c:pt>
                <c:pt idx="120">
                  <c:v>#N/A</c:v>
                </c:pt>
                <c:pt idx="121">
                  <c:v>#N/A</c:v>
                </c:pt>
                <c:pt idx="122">
                  <c:v>27.409770378233802</c:v>
                </c:pt>
                <c:pt idx="123">
                  <c:v>#N/A</c:v>
                </c:pt>
                <c:pt idx="124">
                  <c:v>5.8855731025948144</c:v>
                </c:pt>
                <c:pt idx="125">
                  <c:v>4.2637208011698107</c:v>
                </c:pt>
                <c:pt idx="126">
                  <c:v>19.309629766882882</c:v>
                </c:pt>
                <c:pt idx="127">
                  <c:v>2.5358291079377808E-2</c:v>
                </c:pt>
                <c:pt idx="128">
                  <c:v>#N/A</c:v>
                </c:pt>
                <c:pt idx="129">
                  <c:v>21.957308303365235</c:v>
                </c:pt>
                <c:pt idx="130">
                  <c:v>0.54075389820491293</c:v>
                </c:pt>
                <c:pt idx="131">
                  <c:v>#N/A</c:v>
                </c:pt>
                <c:pt idx="132">
                  <c:v>#N/A</c:v>
                </c:pt>
                <c:pt idx="133">
                  <c:v>#N/A</c:v>
                </c:pt>
                <c:pt idx="134">
                  <c:v>#N/A</c:v>
                </c:pt>
                <c:pt idx="135">
                  <c:v>9.6240601503759393</c:v>
                </c:pt>
                <c:pt idx="136">
                  <c:v>6.25</c:v>
                </c:pt>
                <c:pt idx="137">
                  <c:v>#N/A</c:v>
                </c:pt>
                <c:pt idx="138">
                  <c:v>#N/A</c:v>
                </c:pt>
                <c:pt idx="139">
                  <c:v>19.253882782690258</c:v>
                </c:pt>
                <c:pt idx="140">
                  <c:v>#N/A</c:v>
                </c:pt>
                <c:pt idx="141">
                  <c:v>7.1259368391745719</c:v>
                </c:pt>
                <c:pt idx="142">
                  <c:v>0.42272506673069504</c:v>
                </c:pt>
                <c:pt idx="143">
                  <c:v>#N/A</c:v>
                </c:pt>
                <c:pt idx="144">
                  <c:v>#N/A</c:v>
                </c:pt>
                <c:pt idx="145">
                  <c:v>#N/A</c:v>
                </c:pt>
              </c:numCache>
            </c:numRef>
          </c:yVal>
          <c:smooth val="0"/>
          <c:extLst>
            <c:ext xmlns:c16="http://schemas.microsoft.com/office/drawing/2014/chart" uri="{C3380CC4-5D6E-409C-BE32-E72D297353CC}">
              <c16:uniqueId val="{00000000-C2E5-4509-A5FF-3A75CB618DA2}"/>
            </c:ext>
          </c:extLst>
        </c:ser>
        <c:dLbls>
          <c:showLegendKey val="0"/>
          <c:showVal val="0"/>
          <c:showCatName val="0"/>
          <c:showSerName val="0"/>
          <c:showPercent val="0"/>
          <c:showBubbleSize val="0"/>
        </c:dLbls>
        <c:axId val="249305247"/>
        <c:axId val="249087183"/>
      </c:scatterChart>
      <c:scatterChart>
        <c:scatterStyle val="lineMarker"/>
        <c:varyColors val="0"/>
        <c:ser>
          <c:idx val="1"/>
          <c:order val="1"/>
          <c:tx>
            <c:v>EIRP/dc</c:v>
          </c:tx>
          <c:spPr>
            <a:ln w="25400" cap="rnd">
              <a:noFill/>
              <a:round/>
            </a:ln>
            <a:effectLst/>
          </c:spPr>
          <c:marker>
            <c:symbol val="circle"/>
            <c:size val="7"/>
            <c:spPr>
              <a:solidFill>
                <a:srgbClr val="FF0000"/>
              </a:solidFill>
              <a:ln w="12700">
                <a:solidFill>
                  <a:schemeClr val="tx1"/>
                </a:solidFill>
              </a:ln>
              <a:effectLst/>
            </c:spPr>
          </c:marker>
          <c:xVal>
            <c:numRef>
              <c:f>Data!$I$2:$I$152</c:f>
              <c:numCache>
                <c:formatCode>General</c:formatCode>
                <c:ptCount val="151"/>
                <c:pt idx="0">
                  <c:v>60</c:v>
                </c:pt>
                <c:pt idx="1">
                  <c:v>60</c:v>
                </c:pt>
                <c:pt idx="2">
                  <c:v>60</c:v>
                </c:pt>
                <c:pt idx="3">
                  <c:v>60</c:v>
                </c:pt>
                <c:pt idx="4">
                  <c:v>110</c:v>
                </c:pt>
                <c:pt idx="5">
                  <c:v>24.4</c:v>
                </c:pt>
                <c:pt idx="6">
                  <c:v>35.5</c:v>
                </c:pt>
                <c:pt idx="7">
                  <c:v>10.1</c:v>
                </c:pt>
                <c:pt idx="8">
                  <c:v>60</c:v>
                </c:pt>
                <c:pt idx="9">
                  <c:v>92</c:v>
                </c:pt>
                <c:pt idx="10">
                  <c:v>97</c:v>
                </c:pt>
                <c:pt idx="11">
                  <c:v>32</c:v>
                </c:pt>
                <c:pt idx="12">
                  <c:v>338</c:v>
                </c:pt>
                <c:pt idx="13">
                  <c:v>60</c:v>
                </c:pt>
                <c:pt idx="14">
                  <c:v>70</c:v>
                </c:pt>
                <c:pt idx="15">
                  <c:v>85</c:v>
                </c:pt>
                <c:pt idx="16">
                  <c:v>45</c:v>
                </c:pt>
                <c:pt idx="17">
                  <c:v>390</c:v>
                </c:pt>
                <c:pt idx="18">
                  <c:v>60</c:v>
                </c:pt>
                <c:pt idx="19">
                  <c:v>60</c:v>
                </c:pt>
                <c:pt idx="20">
                  <c:v>28</c:v>
                </c:pt>
                <c:pt idx="21">
                  <c:v>290</c:v>
                </c:pt>
                <c:pt idx="22">
                  <c:v>290</c:v>
                </c:pt>
                <c:pt idx="23">
                  <c:v>320</c:v>
                </c:pt>
                <c:pt idx="24">
                  <c:v>70</c:v>
                </c:pt>
                <c:pt idx="25">
                  <c:v>105</c:v>
                </c:pt>
                <c:pt idx="26">
                  <c:v>23</c:v>
                </c:pt>
                <c:pt idx="27">
                  <c:v>30</c:v>
                </c:pt>
                <c:pt idx="28">
                  <c:v>28</c:v>
                </c:pt>
                <c:pt idx="29">
                  <c:v>60</c:v>
                </c:pt>
                <c:pt idx="30">
                  <c:v>80</c:v>
                </c:pt>
                <c:pt idx="31">
                  <c:v>90</c:v>
                </c:pt>
                <c:pt idx="32">
                  <c:v>60</c:v>
                </c:pt>
                <c:pt idx="33">
                  <c:v>28</c:v>
                </c:pt>
                <c:pt idx="34">
                  <c:v>94</c:v>
                </c:pt>
                <c:pt idx="35">
                  <c:v>94</c:v>
                </c:pt>
                <c:pt idx="36">
                  <c:v>42</c:v>
                </c:pt>
                <c:pt idx="37">
                  <c:v>145</c:v>
                </c:pt>
                <c:pt idx="38">
                  <c:v>27</c:v>
                </c:pt>
                <c:pt idx="39">
                  <c:v>41</c:v>
                </c:pt>
                <c:pt idx="40">
                  <c:v>73</c:v>
                </c:pt>
                <c:pt idx="41">
                  <c:v>265.68</c:v>
                </c:pt>
                <c:pt idx="42">
                  <c:v>24.5</c:v>
                </c:pt>
                <c:pt idx="43">
                  <c:v>43</c:v>
                </c:pt>
                <c:pt idx="44">
                  <c:v>39</c:v>
                </c:pt>
                <c:pt idx="45">
                  <c:v>90</c:v>
                </c:pt>
                <c:pt idx="46">
                  <c:v>420</c:v>
                </c:pt>
                <c:pt idx="47">
                  <c:v>586.70000000000005</c:v>
                </c:pt>
                <c:pt idx="48">
                  <c:v>416</c:v>
                </c:pt>
                <c:pt idx="49">
                  <c:v>490</c:v>
                </c:pt>
                <c:pt idx="50">
                  <c:v>670</c:v>
                </c:pt>
                <c:pt idx="51">
                  <c:v>75</c:v>
                </c:pt>
                <c:pt idx="52">
                  <c:v>135</c:v>
                </c:pt>
                <c:pt idx="53">
                  <c:v>150</c:v>
                </c:pt>
                <c:pt idx="54">
                  <c:v>500</c:v>
                </c:pt>
                <c:pt idx="55">
                  <c:v>390</c:v>
                </c:pt>
                <c:pt idx="56">
                  <c:v>140</c:v>
                </c:pt>
                <c:pt idx="57">
                  <c:v>150</c:v>
                </c:pt>
                <c:pt idx="58">
                  <c:v>28</c:v>
                </c:pt>
                <c:pt idx="59">
                  <c:v>28</c:v>
                </c:pt>
                <c:pt idx="60">
                  <c:v>29.5</c:v>
                </c:pt>
                <c:pt idx="61">
                  <c:v>420</c:v>
                </c:pt>
                <c:pt idx="62">
                  <c:v>420</c:v>
                </c:pt>
                <c:pt idx="63">
                  <c:v>245</c:v>
                </c:pt>
                <c:pt idx="64">
                  <c:v>256</c:v>
                </c:pt>
                <c:pt idx="65">
                  <c:v>450</c:v>
                </c:pt>
                <c:pt idx="66">
                  <c:v>605</c:v>
                </c:pt>
                <c:pt idx="67">
                  <c:v>378</c:v>
                </c:pt>
                <c:pt idx="68">
                  <c:v>60</c:v>
                </c:pt>
                <c:pt idx="69">
                  <c:v>11.7</c:v>
                </c:pt>
                <c:pt idx="70">
                  <c:v>14</c:v>
                </c:pt>
                <c:pt idx="71">
                  <c:v>29.5</c:v>
                </c:pt>
                <c:pt idx="72">
                  <c:v>19</c:v>
                </c:pt>
                <c:pt idx="73">
                  <c:v>27</c:v>
                </c:pt>
                <c:pt idx="74">
                  <c:v>11.7</c:v>
                </c:pt>
                <c:pt idx="75">
                  <c:v>140</c:v>
                </c:pt>
                <c:pt idx="76">
                  <c:v>14</c:v>
                </c:pt>
                <c:pt idx="77">
                  <c:v>11.7</c:v>
                </c:pt>
                <c:pt idx="78">
                  <c:v>450</c:v>
                </c:pt>
                <c:pt idx="79">
                  <c:v>30</c:v>
                </c:pt>
                <c:pt idx="80">
                  <c:v>18</c:v>
                </c:pt>
                <c:pt idx="81">
                  <c:v>30</c:v>
                </c:pt>
                <c:pt idx="82">
                  <c:v>50</c:v>
                </c:pt>
                <c:pt idx="83">
                  <c:v>310</c:v>
                </c:pt>
                <c:pt idx="84">
                  <c:v>28</c:v>
                </c:pt>
                <c:pt idx="85">
                  <c:v>15</c:v>
                </c:pt>
                <c:pt idx="86">
                  <c:v>57</c:v>
                </c:pt>
                <c:pt idx="87">
                  <c:v>28</c:v>
                </c:pt>
                <c:pt idx="88">
                  <c:v>140</c:v>
                </c:pt>
                <c:pt idx="89">
                  <c:v>28</c:v>
                </c:pt>
                <c:pt idx="90">
                  <c:v>39</c:v>
                </c:pt>
                <c:pt idx="91">
                  <c:v>26</c:v>
                </c:pt>
                <c:pt idx="92">
                  <c:v>29</c:v>
                </c:pt>
                <c:pt idx="93">
                  <c:v>300</c:v>
                </c:pt>
                <c:pt idx="94">
                  <c:v>431</c:v>
                </c:pt>
                <c:pt idx="95">
                  <c:v>140</c:v>
                </c:pt>
                <c:pt idx="96">
                  <c:v>136</c:v>
                </c:pt>
                <c:pt idx="97">
                  <c:v>260</c:v>
                </c:pt>
                <c:pt idx="98">
                  <c:v>140</c:v>
                </c:pt>
                <c:pt idx="99">
                  <c:v>140</c:v>
                </c:pt>
                <c:pt idx="100">
                  <c:v>27</c:v>
                </c:pt>
                <c:pt idx="101">
                  <c:v>694</c:v>
                </c:pt>
                <c:pt idx="102">
                  <c:v>14.25</c:v>
                </c:pt>
                <c:pt idx="103">
                  <c:v>28</c:v>
                </c:pt>
                <c:pt idx="104">
                  <c:v>39</c:v>
                </c:pt>
                <c:pt idx="105">
                  <c:v>29</c:v>
                </c:pt>
                <c:pt idx="106">
                  <c:v>472</c:v>
                </c:pt>
                <c:pt idx="107">
                  <c:v>416</c:v>
                </c:pt>
                <c:pt idx="108">
                  <c:v>93</c:v>
                </c:pt>
                <c:pt idx="109">
                  <c:v>93</c:v>
                </c:pt>
                <c:pt idx="110">
                  <c:v>27</c:v>
                </c:pt>
                <c:pt idx="111">
                  <c:v>150</c:v>
                </c:pt>
                <c:pt idx="112">
                  <c:v>150</c:v>
                </c:pt>
                <c:pt idx="113">
                  <c:v>28</c:v>
                </c:pt>
                <c:pt idx="114">
                  <c:v>18</c:v>
                </c:pt>
                <c:pt idx="115">
                  <c:v>28.7</c:v>
                </c:pt>
                <c:pt idx="116">
                  <c:v>28</c:v>
                </c:pt>
                <c:pt idx="117">
                  <c:v>39</c:v>
                </c:pt>
                <c:pt idx="118">
                  <c:v>47.2</c:v>
                </c:pt>
                <c:pt idx="119">
                  <c:v>60.1</c:v>
                </c:pt>
                <c:pt idx="120">
                  <c:v>28</c:v>
                </c:pt>
                <c:pt idx="121">
                  <c:v>40</c:v>
                </c:pt>
                <c:pt idx="122">
                  <c:v>28</c:v>
                </c:pt>
                <c:pt idx="123">
                  <c:v>20</c:v>
                </c:pt>
                <c:pt idx="124">
                  <c:v>5</c:v>
                </c:pt>
                <c:pt idx="125">
                  <c:v>33</c:v>
                </c:pt>
                <c:pt idx="126">
                  <c:v>39</c:v>
                </c:pt>
                <c:pt idx="127">
                  <c:v>141</c:v>
                </c:pt>
                <c:pt idx="128">
                  <c:v>28</c:v>
                </c:pt>
                <c:pt idx="129">
                  <c:v>77</c:v>
                </c:pt>
                <c:pt idx="130">
                  <c:v>246</c:v>
                </c:pt>
                <c:pt idx="131">
                  <c:v>675</c:v>
                </c:pt>
                <c:pt idx="132">
                  <c:v>140</c:v>
                </c:pt>
                <c:pt idx="133">
                  <c:v>28</c:v>
                </c:pt>
                <c:pt idx="134">
                  <c:v>607</c:v>
                </c:pt>
                <c:pt idx="135">
                  <c:v>26.26</c:v>
                </c:pt>
                <c:pt idx="136">
                  <c:v>90</c:v>
                </c:pt>
                <c:pt idx="137">
                  <c:v>90</c:v>
                </c:pt>
                <c:pt idx="138">
                  <c:v>260</c:v>
                </c:pt>
                <c:pt idx="139">
                  <c:v>35</c:v>
                </c:pt>
                <c:pt idx="140">
                  <c:v>5.8</c:v>
                </c:pt>
                <c:pt idx="141">
                  <c:v>39</c:v>
                </c:pt>
                <c:pt idx="142">
                  <c:v>28</c:v>
                </c:pt>
                <c:pt idx="143">
                  <c:v>30</c:v>
                </c:pt>
                <c:pt idx="144">
                  <c:v>140</c:v>
                </c:pt>
                <c:pt idx="145">
                  <c:v>28.7</c:v>
                </c:pt>
                <c:pt idx="146">
                  <c:v>280</c:v>
                </c:pt>
                <c:pt idx="147">
                  <c:v>58</c:v>
                </c:pt>
                <c:pt idx="148">
                  <c:v>58</c:v>
                </c:pt>
                <c:pt idx="149">
                  <c:v>300</c:v>
                </c:pt>
                <c:pt idx="150">
                  <c:v>60</c:v>
                </c:pt>
              </c:numCache>
            </c:numRef>
          </c:xVal>
          <c:yVal>
            <c:numRef>
              <c:f>Plot_Data_Power!$G$2:$G$147</c:f>
              <c:numCache>
                <c:formatCode>General</c:formatCode>
                <c:ptCount val="146"/>
                <c:pt idx="0">
                  <c:v>417.07715591081967</c:v>
                </c:pt>
                <c:pt idx="1">
                  <c:v>34.667985960450174</c:v>
                </c:pt>
                <c:pt idx="2">
                  <c:v>#N/A</c:v>
                </c:pt>
                <c:pt idx="3">
                  <c:v>#N/A</c:v>
                </c:pt>
                <c:pt idx="4">
                  <c:v>#N/A</c:v>
                </c:pt>
                <c:pt idx="5">
                  <c:v>#N/A</c:v>
                </c:pt>
                <c:pt idx="6">
                  <c:v>#N/A</c:v>
                </c:pt>
                <c:pt idx="7">
                  <c:v>#N/A</c:v>
                </c:pt>
                <c:pt idx="8">
                  <c:v>132.07443270509299</c:v>
                </c:pt>
                <c:pt idx="9">
                  <c:v>#N/A</c:v>
                </c:pt>
                <c:pt idx="10">
                  <c:v>#N/A</c:v>
                </c:pt>
                <c:pt idx="11">
                  <c:v>#N/A</c:v>
                </c:pt>
                <c:pt idx="12">
                  <c:v>3.3302687272166578</c:v>
                </c:pt>
                <c:pt idx="13">
                  <c:v>42.116574254392667</c:v>
                </c:pt>
                <c:pt idx="14">
                  <c:v>45.67066239108329</c:v>
                </c:pt>
                <c:pt idx="15">
                  <c:v>#N/A</c:v>
                </c:pt>
                <c:pt idx="16">
                  <c:v>#N/A</c:v>
                </c:pt>
                <c:pt idx="17">
                  <c:v>0.42063822965346231</c:v>
                </c:pt>
                <c:pt idx="18">
                  <c:v>90.136763497170563</c:v>
                </c:pt>
                <c:pt idx="19">
                  <c:v>98.821176880262001</c:v>
                </c:pt>
                <c:pt idx="20">
                  <c:v>#N/A</c:v>
                </c:pt>
                <c:pt idx="21">
                  <c:v>#N/A</c:v>
                </c:pt>
                <c:pt idx="22">
                  <c:v>#N/A</c:v>
                </c:pt>
                <c:pt idx="23">
                  <c:v>0.38012690709831665</c:v>
                </c:pt>
                <c:pt idx="24">
                  <c:v>#N/A</c:v>
                </c:pt>
                <c:pt idx="25">
                  <c:v>#N/A</c:v>
                </c:pt>
                <c:pt idx="26">
                  <c:v>#N/A</c:v>
                </c:pt>
                <c:pt idx="27">
                  <c:v>#N/A</c:v>
                </c:pt>
                <c:pt idx="28">
                  <c:v>146.40174352631391</c:v>
                </c:pt>
                <c:pt idx="29">
                  <c:v>1498.7207283263911</c:v>
                </c:pt>
                <c:pt idx="30">
                  <c:v>#N/A</c:v>
                </c:pt>
                <c:pt idx="31">
                  <c:v>#N/A</c:v>
                </c:pt>
                <c:pt idx="32">
                  <c:v>#N/A</c:v>
                </c:pt>
                <c:pt idx="33">
                  <c:v>1125.6343696456793</c:v>
                </c:pt>
                <c:pt idx="34">
                  <c:v>#N/A</c:v>
                </c:pt>
                <c:pt idx="35">
                  <c:v>#N/A</c:v>
                </c:pt>
                <c:pt idx="36">
                  <c:v>#N/A</c:v>
                </c:pt>
                <c:pt idx="37">
                  <c:v>2.8250750892455088</c:v>
                </c:pt>
                <c:pt idx="38">
                  <c:v>#N/A</c:v>
                </c:pt>
                <c:pt idx="39">
                  <c:v>#N/A</c:v>
                </c:pt>
                <c:pt idx="40">
                  <c:v>290.77583438958692</c:v>
                </c:pt>
                <c:pt idx="41">
                  <c:v>#N/A</c:v>
                </c:pt>
                <c:pt idx="42">
                  <c:v>#N/A</c:v>
                </c:pt>
                <c:pt idx="43">
                  <c:v>#N/A</c:v>
                </c:pt>
                <c:pt idx="44">
                  <c:v>831.35929790370062</c:v>
                </c:pt>
                <c:pt idx="45">
                  <c:v>1420.4545454545453</c:v>
                </c:pt>
                <c:pt idx="46">
                  <c:v>43.526485402587717</c:v>
                </c:pt>
                <c:pt idx="47">
                  <c:v>20.112643057659358</c:v>
                </c:pt>
                <c:pt idx="48">
                  <c:v>1.7323354700066067</c:v>
                </c:pt>
                <c:pt idx="49">
                  <c:v>#N/A</c:v>
                </c:pt>
                <c:pt idx="50">
                  <c:v>5.144045977847191</c:v>
                </c:pt>
                <c:pt idx="51">
                  <c:v>25</c:v>
                </c:pt>
                <c:pt idx="52">
                  <c:v>#N/A</c:v>
                </c:pt>
                <c:pt idx="53">
                  <c:v>#N/A</c:v>
                </c:pt>
                <c:pt idx="54">
                  <c:v>#N/A</c:v>
                </c:pt>
                <c:pt idx="55">
                  <c:v>#N/A</c:v>
                </c:pt>
                <c:pt idx="56">
                  <c:v>#N/A</c:v>
                </c:pt>
                <c:pt idx="57">
                  <c:v>#N/A</c:v>
                </c:pt>
                <c:pt idx="58">
                  <c:v>225.12280181677971</c:v>
                </c:pt>
                <c:pt idx="59">
                  <c:v>#N/A</c:v>
                </c:pt>
                <c:pt idx="60">
                  <c:v>1387.8454597435748</c:v>
                </c:pt>
                <c:pt idx="61">
                  <c:v>3.2894736842105261</c:v>
                </c:pt>
                <c:pt idx="62">
                  <c:v>#N/A</c:v>
                </c:pt>
                <c:pt idx="63">
                  <c:v>73.704004945187123</c:v>
                </c:pt>
                <c:pt idx="64">
                  <c:v>#N/A</c:v>
                </c:pt>
                <c:pt idx="65">
                  <c:v>0.21389987420800871</c:v>
                </c:pt>
                <c:pt idx="66">
                  <c:v>#N/A</c:v>
                </c:pt>
                <c:pt idx="67">
                  <c:v>#N/A</c:v>
                </c:pt>
                <c:pt idx="68">
                  <c:v>#N/A</c:v>
                </c:pt>
                <c:pt idx="69">
                  <c:v>#N/A</c:v>
                </c:pt>
                <c:pt idx="70">
                  <c:v>5816.1926061323466</c:v>
                </c:pt>
                <c:pt idx="71">
                  <c:v>#N/A</c:v>
                </c:pt>
                <c:pt idx="72">
                  <c:v>#N/A</c:v>
                </c:pt>
                <c:pt idx="73">
                  <c:v>#N/A</c:v>
                </c:pt>
                <c:pt idx="74">
                  <c:v>#N/A</c:v>
                </c:pt>
                <c:pt idx="75">
                  <c:v>#N/A</c:v>
                </c:pt>
                <c:pt idx="76">
                  <c:v>7658.1903399682615</c:v>
                </c:pt>
                <c:pt idx="77">
                  <c:v>#N/A</c:v>
                </c:pt>
                <c:pt idx="78">
                  <c:v>190.40157003100765</c:v>
                </c:pt>
                <c:pt idx="79">
                  <c:v>#N/A</c:v>
                </c:pt>
                <c:pt idx="80">
                  <c:v>25.059361681363633</c:v>
                </c:pt>
                <c:pt idx="81">
                  <c:v>125.59432157547906</c:v>
                </c:pt>
                <c:pt idx="82">
                  <c:v>99.763115748444022</c:v>
                </c:pt>
                <c:pt idx="83">
                  <c:v>#N/A</c:v>
                </c:pt>
                <c:pt idx="84">
                  <c:v>65.724723383353464</c:v>
                </c:pt>
                <c:pt idx="85">
                  <c:v>#N/A</c:v>
                </c:pt>
                <c:pt idx="86">
                  <c:v>#N/A</c:v>
                </c:pt>
                <c:pt idx="87">
                  <c:v>#N/A</c:v>
                </c:pt>
                <c:pt idx="88">
                  <c:v>73.584693662798088</c:v>
                </c:pt>
                <c:pt idx="89">
                  <c:v>#N/A</c:v>
                </c:pt>
                <c:pt idx="90">
                  <c:v>#N/A</c:v>
                </c:pt>
                <c:pt idx="91">
                  <c:v>#N/A</c:v>
                </c:pt>
                <c:pt idx="92">
                  <c:v>#N/A</c:v>
                </c:pt>
                <c:pt idx="93">
                  <c:v>#N/A</c:v>
                </c:pt>
                <c:pt idx="94">
                  <c:v>5.2061024726219443E-2</c:v>
                </c:pt>
                <c:pt idx="95">
                  <c:v>#N/A</c:v>
                </c:pt>
                <c:pt idx="96">
                  <c:v>85.762618639670748</c:v>
                </c:pt>
                <c:pt idx="97">
                  <c:v>#N/A</c:v>
                </c:pt>
                <c:pt idx="98">
                  <c:v>#N/A</c:v>
                </c:pt>
                <c:pt idx="99">
                  <c:v>#N/A</c:v>
                </c:pt>
                <c:pt idx="100">
                  <c:v>#N/A</c:v>
                </c:pt>
                <c:pt idx="101">
                  <c:v>67.466306076664949</c:v>
                </c:pt>
                <c:pt idx="102">
                  <c:v>22843.295752983111</c:v>
                </c:pt>
                <c:pt idx="103">
                  <c:v>362.18911400583494</c:v>
                </c:pt>
                <c:pt idx="104">
                  <c:v>362.18911400583494</c:v>
                </c:pt>
                <c:pt idx="105">
                  <c:v>484.20208145929502</c:v>
                </c:pt>
                <c:pt idx="106">
                  <c:v>233.2308403235825</c:v>
                </c:pt>
                <c:pt idx="107">
                  <c:v>1.7323354700066067</c:v>
                </c:pt>
                <c:pt idx="108">
                  <c:v>#N/A</c:v>
                </c:pt>
                <c:pt idx="109">
                  <c:v>#N/A</c:v>
                </c:pt>
                <c:pt idx="110">
                  <c:v>12862.38707093274</c:v>
                </c:pt>
                <c:pt idx="111">
                  <c:v>8.1246361337448487</c:v>
                </c:pt>
                <c:pt idx="112">
                  <c:v>#N/A</c:v>
                </c:pt>
                <c:pt idx="113">
                  <c:v>#N/A</c:v>
                </c:pt>
                <c:pt idx="114">
                  <c:v>#N/A</c:v>
                </c:pt>
                <c:pt idx="115">
                  <c:v>#N/A</c:v>
                </c:pt>
                <c:pt idx="116">
                  <c:v>#N/A</c:v>
                </c:pt>
                <c:pt idx="117">
                  <c:v>#N/A</c:v>
                </c:pt>
                <c:pt idx="118">
                  <c:v>#N/A</c:v>
                </c:pt>
                <c:pt idx="119">
                  <c:v>#N/A</c:v>
                </c:pt>
                <c:pt idx="120">
                  <c:v>#N/A</c:v>
                </c:pt>
                <c:pt idx="121">
                  <c:v>#N/A</c:v>
                </c:pt>
                <c:pt idx="122">
                  <c:v>5517.285062776773</c:v>
                </c:pt>
                <c:pt idx="123">
                  <c:v>#N/A</c:v>
                </c:pt>
                <c:pt idx="124">
                  <c:v>1.0855973527873319</c:v>
                </c:pt>
                <c:pt idx="125">
                  <c:v>184.36088135003604</c:v>
                </c:pt>
                <c:pt idx="126">
                  <c:v>1287.0457147177851</c:v>
                </c:pt>
                <c:pt idx="127">
                  <c:v>#N/A</c:v>
                </c:pt>
                <c:pt idx="128">
                  <c:v>#N/A</c:v>
                </c:pt>
                <c:pt idx="129">
                  <c:v>#N/A</c:v>
                </c:pt>
                <c:pt idx="130">
                  <c:v>#N/A</c:v>
                </c:pt>
                <c:pt idx="131">
                  <c:v>#N/A</c:v>
                </c:pt>
                <c:pt idx="132">
                  <c:v>#N/A</c:v>
                </c:pt>
                <c:pt idx="133">
                  <c:v>#N/A</c:v>
                </c:pt>
                <c:pt idx="134">
                  <c:v>#N/A</c:v>
                </c:pt>
                <c:pt idx="135">
                  <c:v>9018.1688684943347</c:v>
                </c:pt>
                <c:pt idx="136">
                  <c:v>#N/A</c:v>
                </c:pt>
                <c:pt idx="137">
                  <c:v>#N/A</c:v>
                </c:pt>
                <c:pt idx="138">
                  <c:v>#N/A</c:v>
                </c:pt>
                <c:pt idx="139">
                  <c:v>#N/A</c:v>
                </c:pt>
                <c:pt idx="140">
                  <c:v>#N/A</c:v>
                </c:pt>
                <c:pt idx="141">
                  <c:v>22.321428571428569</c:v>
                </c:pt>
                <c:pt idx="142">
                  <c:v>#N/A</c:v>
                </c:pt>
                <c:pt idx="143">
                  <c:v>#N/A</c:v>
                </c:pt>
                <c:pt idx="144">
                  <c:v>#N/A</c:v>
                </c:pt>
                <c:pt idx="145">
                  <c:v>#N/A</c:v>
                </c:pt>
              </c:numCache>
            </c:numRef>
          </c:yVal>
          <c:smooth val="0"/>
          <c:extLst>
            <c:ext xmlns:c16="http://schemas.microsoft.com/office/drawing/2014/chart" uri="{C3380CC4-5D6E-409C-BE32-E72D297353CC}">
              <c16:uniqueId val="{00000001-C2E5-4509-A5FF-3A75CB618DA2}"/>
            </c:ext>
          </c:extLst>
        </c:ser>
        <c:dLbls>
          <c:showLegendKey val="0"/>
          <c:showVal val="0"/>
          <c:showCatName val="0"/>
          <c:showSerName val="0"/>
          <c:showPercent val="0"/>
          <c:showBubbleSize val="0"/>
        </c:dLbls>
        <c:axId val="994547808"/>
        <c:axId val="994546368"/>
      </c:scatterChart>
      <c:valAx>
        <c:axId val="249305247"/>
        <c:scaling>
          <c:orientation val="minMax"/>
        </c:scaling>
        <c:delete val="0"/>
        <c:axPos val="b"/>
        <c:majorGridlines>
          <c:spPr>
            <a:ln w="15875" cap="flat" cmpd="sng" algn="ctr">
              <a:solidFill>
                <a:schemeClr val="bg1">
                  <a:lumMod val="85000"/>
                </a:schemeClr>
              </a:solidFill>
              <a:prstDash val="sysDash"/>
              <a:round/>
            </a:ln>
            <a:effectLst/>
          </c:spPr>
        </c:maj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087183"/>
        <c:crosses val="autoZero"/>
        <c:crossBetween val="midCat"/>
      </c:valAx>
      <c:valAx>
        <c:axId val="249087183"/>
        <c:scaling>
          <c:logBase val="10"/>
          <c:orientation val="minMax"/>
          <c:max val="100000"/>
        </c:scaling>
        <c:delete val="0"/>
        <c:axPos val="l"/>
        <c:majorGridlines>
          <c:spPr>
            <a:ln w="158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Ptx_array_total</a:t>
                </a:r>
                <a:r>
                  <a:rPr lang="en-US" baseline="0"/>
                  <a:t> / Pdc (%)</a:t>
                </a:r>
                <a:endParaRPr lang="en-US"/>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249305247"/>
        <c:crosses val="autoZero"/>
        <c:crossBetween val="midCat"/>
      </c:valAx>
      <c:valAx>
        <c:axId val="994546368"/>
        <c:scaling>
          <c:logBase val="10"/>
          <c:orientation val="minMax"/>
        </c:scaling>
        <c:delete val="0"/>
        <c:axPos val="r"/>
        <c:title>
          <c:tx>
            <c:rich>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r>
                  <a:rPr lang="en-US"/>
                  <a:t>EIRP/Pdc (%)</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title>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crossAx val="994547808"/>
        <c:crosses val="max"/>
        <c:crossBetween val="midCat"/>
      </c:valAx>
      <c:valAx>
        <c:axId val="994547808"/>
        <c:scaling>
          <c:orientation val="minMax"/>
        </c:scaling>
        <c:delete val="1"/>
        <c:axPos val="b"/>
        <c:numFmt formatCode="General" sourceLinked="1"/>
        <c:majorTickMark val="out"/>
        <c:minorTickMark val="none"/>
        <c:tickLblPos val="nextTo"/>
        <c:crossAx val="994546368"/>
        <c:crosses val="autoZero"/>
        <c:crossBetween val="midCat"/>
      </c:valAx>
      <c:spPr>
        <a:noFill/>
        <a:ln w="25400">
          <a:solidFill>
            <a:schemeClr val="tx1"/>
          </a:solidFill>
        </a:ln>
        <a:effectLst/>
      </c:spPr>
    </c:plotArea>
    <c:legend>
      <c:legendPos val="t"/>
      <c:layout>
        <c:manualLayout>
          <c:xMode val="edge"/>
          <c:yMode val="edge"/>
          <c:x val="0.35925521473437533"/>
          <c:y val="7.3965905973469054E-2"/>
          <c:w val="0.29070422206126312"/>
          <c:h val="8.3436578428464248E-2"/>
        </c:manualLayout>
      </c:layout>
      <c:overlay val="1"/>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3.png"/><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svg"/></Relationships>
</file>

<file path=xl/drawings/drawing1.xml><?xml version="1.0" encoding="utf-8"?>
<xdr:wsDr xmlns:xdr="http://schemas.openxmlformats.org/drawingml/2006/spreadsheetDrawing" xmlns:a="http://schemas.openxmlformats.org/drawingml/2006/main">
  <xdr:twoCellAnchor>
    <xdr:from>
      <xdr:col>0</xdr:col>
      <xdr:colOff>9215438</xdr:colOff>
      <xdr:row>9</xdr:row>
      <xdr:rowOff>61912</xdr:rowOff>
    </xdr:from>
    <xdr:to>
      <xdr:col>0</xdr:col>
      <xdr:colOff>9267688</xdr:colOff>
      <xdr:row>9</xdr:row>
      <xdr:rowOff>107631</xdr:rowOff>
    </xdr:to>
    <xdr:sp macro="" textlink="">
      <xdr:nvSpPr>
        <xdr:cNvPr id="2" name="TextBox 1">
          <a:extLst>
            <a:ext uri="{FF2B5EF4-FFF2-40B4-BE49-F238E27FC236}">
              <a16:creationId xmlns:a16="http://schemas.microsoft.com/office/drawing/2014/main" id="{7D8B33A3-70F0-4645-9E24-B2862391D33F}"/>
            </a:ext>
          </a:extLst>
        </xdr:cNvPr>
        <xdr:cNvSpPr txBox="1"/>
      </xdr:nvSpPr>
      <xdr:spPr>
        <a:xfrm>
          <a:off x="9215438" y="1905952"/>
          <a:ext cx="5225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0</xdr:col>
      <xdr:colOff>9215438</xdr:colOff>
      <xdr:row>9</xdr:row>
      <xdr:rowOff>61912</xdr:rowOff>
    </xdr:from>
    <xdr:to>
      <xdr:col>0</xdr:col>
      <xdr:colOff>9267688</xdr:colOff>
      <xdr:row>9</xdr:row>
      <xdr:rowOff>107631</xdr:rowOff>
    </xdr:to>
    <xdr:sp macro="" textlink="">
      <xdr:nvSpPr>
        <xdr:cNvPr id="3" name="TextBox 2">
          <a:extLst>
            <a:ext uri="{FF2B5EF4-FFF2-40B4-BE49-F238E27FC236}">
              <a16:creationId xmlns:a16="http://schemas.microsoft.com/office/drawing/2014/main" id="{46EB998A-B46E-459D-BBD3-A89759D856C6}"/>
            </a:ext>
          </a:extLst>
        </xdr:cNvPr>
        <xdr:cNvSpPr txBox="1"/>
      </xdr:nvSpPr>
      <xdr:spPr>
        <a:xfrm>
          <a:off x="9215438" y="1905952"/>
          <a:ext cx="5225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editAs="oneCell">
    <xdr:from>
      <xdr:col>0</xdr:col>
      <xdr:colOff>1363980</xdr:colOff>
      <xdr:row>0</xdr:row>
      <xdr:rowOff>144780</xdr:rowOff>
    </xdr:from>
    <xdr:to>
      <xdr:col>0</xdr:col>
      <xdr:colOff>3140022</xdr:colOff>
      <xdr:row>2</xdr:row>
      <xdr:rowOff>91785</xdr:rowOff>
    </xdr:to>
    <xdr:pic>
      <xdr:nvPicPr>
        <xdr:cNvPr id="8" name="Grafik 9">
          <a:extLst>
            <a:ext uri="{FF2B5EF4-FFF2-40B4-BE49-F238E27FC236}">
              <a16:creationId xmlns:a16="http://schemas.microsoft.com/office/drawing/2014/main" id="{A8EC2DFC-2AF5-4EEC-BF62-3E716665D3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63980" y="144780"/>
          <a:ext cx="1770327" cy="280380"/>
        </a:xfrm>
        <a:prstGeom prst="rect">
          <a:avLst/>
        </a:prstGeom>
      </xdr:spPr>
    </xdr:pic>
    <xdr:clientData/>
  </xdr:twoCellAnchor>
  <xdr:twoCellAnchor editAs="oneCell">
    <xdr:from>
      <xdr:col>0</xdr:col>
      <xdr:colOff>8450580</xdr:colOff>
      <xdr:row>0</xdr:row>
      <xdr:rowOff>22860</xdr:rowOff>
    </xdr:from>
    <xdr:to>
      <xdr:col>0</xdr:col>
      <xdr:colOff>9025890</xdr:colOff>
      <xdr:row>2</xdr:row>
      <xdr:rowOff>154872</xdr:rowOff>
    </xdr:to>
    <xdr:pic>
      <xdr:nvPicPr>
        <xdr:cNvPr id="9" name="Picture 8">
          <a:extLst>
            <a:ext uri="{FF2B5EF4-FFF2-40B4-BE49-F238E27FC236}">
              <a16:creationId xmlns:a16="http://schemas.microsoft.com/office/drawing/2014/main" id="{0711CC99-0AA2-40DC-844A-9F79B3484F63}"/>
            </a:ext>
          </a:extLst>
        </xdr:cNvPr>
        <xdr:cNvPicPr>
          <a:picLocks noChangeAspect="1"/>
        </xdr:cNvPicPr>
      </xdr:nvPicPr>
      <xdr:blipFill rotWithShape="1">
        <a:blip xmlns:r="http://schemas.openxmlformats.org/officeDocument/2006/relationships" r:embed="rId3"/>
        <a:srcRect l="14555" t="21160" r="15229" b="21428"/>
        <a:stretch/>
      </xdr:blipFill>
      <xdr:spPr>
        <a:xfrm>
          <a:off x="8450580" y="22860"/>
          <a:ext cx="571500" cy="4672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287573</xdr:colOff>
      <xdr:row>0</xdr:row>
      <xdr:rowOff>135255</xdr:rowOff>
    </xdr:from>
    <xdr:to>
      <xdr:col>9</xdr:col>
      <xdr:colOff>257756</xdr:colOff>
      <xdr:row>20</xdr:row>
      <xdr:rowOff>142792</xdr:rowOff>
    </xdr:to>
    <xdr:graphicFrame macro="">
      <xdr:nvGraphicFramePr>
        <xdr:cNvPr id="2" name="Chart 1">
          <a:extLst>
            <a:ext uri="{FF2B5EF4-FFF2-40B4-BE49-F238E27FC236}">
              <a16:creationId xmlns:a16="http://schemas.microsoft.com/office/drawing/2014/main" id="{B84A5F2A-5D4C-40A9-A3D4-7778AA9A77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163512</xdr:colOff>
      <xdr:row>0</xdr:row>
      <xdr:rowOff>145052</xdr:rowOff>
    </xdr:from>
    <xdr:to>
      <xdr:col>20</xdr:col>
      <xdr:colOff>419651</xdr:colOff>
      <xdr:row>20</xdr:row>
      <xdr:rowOff>165924</xdr:rowOff>
    </xdr:to>
    <xdr:graphicFrame macro="">
      <xdr:nvGraphicFramePr>
        <xdr:cNvPr id="3" name="Chart 2">
          <a:extLst>
            <a:ext uri="{FF2B5EF4-FFF2-40B4-BE49-F238E27FC236}">
              <a16:creationId xmlns:a16="http://schemas.microsoft.com/office/drawing/2014/main" id="{C71C0DC8-C7B3-458F-952A-D413C9ABAB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49289</xdr:colOff>
      <xdr:row>0</xdr:row>
      <xdr:rowOff>120233</xdr:rowOff>
    </xdr:from>
    <xdr:to>
      <xdr:col>30</xdr:col>
      <xdr:colOff>11852</xdr:colOff>
      <xdr:row>20</xdr:row>
      <xdr:rowOff>129675</xdr:rowOff>
    </xdr:to>
    <xdr:graphicFrame macro="">
      <xdr:nvGraphicFramePr>
        <xdr:cNvPr id="4" name="Chart 3">
          <a:extLst>
            <a:ext uri="{FF2B5EF4-FFF2-40B4-BE49-F238E27FC236}">
              <a16:creationId xmlns:a16="http://schemas.microsoft.com/office/drawing/2014/main" id="{AA1469D6-D9F4-4FE1-9DEA-E26DFA2466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549170</xdr:colOff>
      <xdr:row>0</xdr:row>
      <xdr:rowOff>106526</xdr:rowOff>
    </xdr:from>
    <xdr:to>
      <xdr:col>39</xdr:col>
      <xdr:colOff>525067</xdr:colOff>
      <xdr:row>20</xdr:row>
      <xdr:rowOff>117873</xdr:rowOff>
    </xdr:to>
    <xdr:graphicFrame macro="">
      <xdr:nvGraphicFramePr>
        <xdr:cNvPr id="5" name="Chart 4">
          <a:extLst>
            <a:ext uri="{FF2B5EF4-FFF2-40B4-BE49-F238E27FC236}">
              <a16:creationId xmlns:a16="http://schemas.microsoft.com/office/drawing/2014/main" id="{E8DB7A83-3E44-4233-B2B0-64B58577B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247710</xdr:colOff>
      <xdr:row>45</xdr:row>
      <xdr:rowOff>10411</xdr:rowOff>
    </xdr:from>
    <xdr:to>
      <xdr:col>18</xdr:col>
      <xdr:colOff>257711</xdr:colOff>
      <xdr:row>65</xdr:row>
      <xdr:rowOff>92325</xdr:rowOff>
    </xdr:to>
    <xdr:graphicFrame macro="">
      <xdr:nvGraphicFramePr>
        <xdr:cNvPr id="6" name="Chart 5">
          <a:extLst>
            <a:ext uri="{FF2B5EF4-FFF2-40B4-BE49-F238E27FC236}">
              <a16:creationId xmlns:a16="http://schemas.microsoft.com/office/drawing/2014/main" id="{1312F8F7-B796-40E1-B0CB-3C7AC7819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609263</xdr:colOff>
      <xdr:row>22</xdr:row>
      <xdr:rowOff>63425</xdr:rowOff>
    </xdr:from>
    <xdr:to>
      <xdr:col>40</xdr:col>
      <xdr:colOff>263971</xdr:colOff>
      <xdr:row>42</xdr:row>
      <xdr:rowOff>90013</xdr:rowOff>
    </xdr:to>
    <xdr:graphicFrame macro="">
      <xdr:nvGraphicFramePr>
        <xdr:cNvPr id="7" name="Chart 6">
          <a:extLst>
            <a:ext uri="{FF2B5EF4-FFF2-40B4-BE49-F238E27FC236}">
              <a16:creationId xmlns:a16="http://schemas.microsoft.com/office/drawing/2014/main" id="{18FB3324-0600-498D-8505-76FA9D000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xdr:col>
      <xdr:colOff>398144</xdr:colOff>
      <xdr:row>45</xdr:row>
      <xdr:rowOff>12311</xdr:rowOff>
    </xdr:from>
    <xdr:to>
      <xdr:col>36</xdr:col>
      <xdr:colOff>398145</xdr:colOff>
      <xdr:row>65</xdr:row>
      <xdr:rowOff>58255</xdr:rowOff>
    </xdr:to>
    <xdr:graphicFrame macro="">
      <xdr:nvGraphicFramePr>
        <xdr:cNvPr id="9" name="Chart 8">
          <a:extLst>
            <a:ext uri="{FF2B5EF4-FFF2-40B4-BE49-F238E27FC236}">
              <a16:creationId xmlns:a16="http://schemas.microsoft.com/office/drawing/2014/main" id="{C76A3B4E-F164-4DBF-9367-25B6AE91F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109547</xdr:colOff>
      <xdr:row>45</xdr:row>
      <xdr:rowOff>49049</xdr:rowOff>
    </xdr:from>
    <xdr:to>
      <xdr:col>45</xdr:col>
      <xdr:colOff>109548</xdr:colOff>
      <xdr:row>65</xdr:row>
      <xdr:rowOff>102613</xdr:rowOff>
    </xdr:to>
    <xdr:graphicFrame macro="">
      <xdr:nvGraphicFramePr>
        <xdr:cNvPr id="10" name="Chart 9">
          <a:extLst>
            <a:ext uri="{FF2B5EF4-FFF2-40B4-BE49-F238E27FC236}">
              <a16:creationId xmlns:a16="http://schemas.microsoft.com/office/drawing/2014/main" id="{CEAC46D1-81A0-4DF2-BD77-B2BD9EE5BA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283957</xdr:colOff>
      <xdr:row>22</xdr:row>
      <xdr:rowOff>130661</xdr:rowOff>
    </xdr:from>
    <xdr:to>
      <xdr:col>9</xdr:col>
      <xdr:colOff>324298</xdr:colOff>
      <xdr:row>43</xdr:row>
      <xdr:rowOff>23085</xdr:rowOff>
    </xdr:to>
    <xdr:graphicFrame macro="">
      <xdr:nvGraphicFramePr>
        <xdr:cNvPr id="11" name="Chart 10">
          <a:extLst>
            <a:ext uri="{FF2B5EF4-FFF2-40B4-BE49-F238E27FC236}">
              <a16:creationId xmlns:a16="http://schemas.microsoft.com/office/drawing/2014/main" id="{35F08C7D-AD0B-41AB-B3E6-FC1F1A44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438934</xdr:colOff>
      <xdr:row>22</xdr:row>
      <xdr:rowOff>48633</xdr:rowOff>
    </xdr:from>
    <xdr:to>
      <xdr:col>25</xdr:col>
      <xdr:colOff>189683</xdr:colOff>
      <xdr:row>42</xdr:row>
      <xdr:rowOff>114636</xdr:rowOff>
    </xdr:to>
    <xdr:graphicFrame macro="">
      <xdr:nvGraphicFramePr>
        <xdr:cNvPr id="12" name="Chart 11">
          <a:extLst>
            <a:ext uri="{FF2B5EF4-FFF2-40B4-BE49-F238E27FC236}">
              <a16:creationId xmlns:a16="http://schemas.microsoft.com/office/drawing/2014/main" id="{A43A7C3B-800D-4488-AAE0-CBE5FF36B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222516</xdr:colOff>
      <xdr:row>45</xdr:row>
      <xdr:rowOff>60031</xdr:rowOff>
    </xdr:from>
    <xdr:to>
      <xdr:col>9</xdr:col>
      <xdr:colOff>222516</xdr:colOff>
      <xdr:row>65</xdr:row>
      <xdr:rowOff>90511</xdr:rowOff>
    </xdr:to>
    <xdr:graphicFrame macro="">
      <xdr:nvGraphicFramePr>
        <xdr:cNvPr id="13" name="Chart 12">
          <a:extLst>
            <a:ext uri="{FF2B5EF4-FFF2-40B4-BE49-F238E27FC236}">
              <a16:creationId xmlns:a16="http://schemas.microsoft.com/office/drawing/2014/main" id="{60FDC0A5-E49A-4F17-9715-5EDFFD28F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236845</xdr:colOff>
      <xdr:row>45</xdr:row>
      <xdr:rowOff>4912</xdr:rowOff>
    </xdr:from>
    <xdr:to>
      <xdr:col>27</xdr:col>
      <xdr:colOff>265755</xdr:colOff>
      <xdr:row>65</xdr:row>
      <xdr:rowOff>82344</xdr:rowOff>
    </xdr:to>
    <xdr:graphicFrame macro="">
      <xdr:nvGraphicFramePr>
        <xdr:cNvPr id="14" name="Chart 13">
          <a:extLst>
            <a:ext uri="{FF2B5EF4-FFF2-40B4-BE49-F238E27FC236}">
              <a16:creationId xmlns:a16="http://schemas.microsoft.com/office/drawing/2014/main" id="{6B1B43CC-0D4D-4B37-8277-35188893C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408342</xdr:colOff>
      <xdr:row>8</xdr:row>
      <xdr:rowOff>55219</xdr:rowOff>
    </xdr:from>
    <xdr:to>
      <xdr:col>16</xdr:col>
      <xdr:colOff>496956</xdr:colOff>
      <xdr:row>10</xdr:row>
      <xdr:rowOff>115956</xdr:rowOff>
    </xdr:to>
    <xdr:sp macro="" textlink="">
      <xdr:nvSpPr>
        <xdr:cNvPr id="8" name="Oval 7">
          <a:extLst>
            <a:ext uri="{FF2B5EF4-FFF2-40B4-BE49-F238E27FC236}">
              <a16:creationId xmlns:a16="http://schemas.microsoft.com/office/drawing/2014/main" id="{3D05F945-8947-40C0-B638-B60F882DD946}"/>
            </a:ext>
          </a:extLst>
        </xdr:cNvPr>
        <xdr:cNvSpPr/>
      </xdr:nvSpPr>
      <xdr:spPr>
        <a:xfrm>
          <a:off x="9519212" y="1512958"/>
          <a:ext cx="696005" cy="425172"/>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282447</xdr:colOff>
      <xdr:row>6</xdr:row>
      <xdr:rowOff>89707</xdr:rowOff>
    </xdr:from>
    <xdr:to>
      <xdr:col>15</xdr:col>
      <xdr:colOff>534238</xdr:colOff>
      <xdr:row>8</xdr:row>
      <xdr:rowOff>109585</xdr:rowOff>
    </xdr:to>
    <xdr:cxnSp macro="">
      <xdr:nvCxnSpPr>
        <xdr:cNvPr id="15" name="Straight Arrow Connector 14">
          <a:extLst>
            <a:ext uri="{FF2B5EF4-FFF2-40B4-BE49-F238E27FC236}">
              <a16:creationId xmlns:a16="http://schemas.microsoft.com/office/drawing/2014/main" id="{59CA4FFA-A987-48BE-8394-5D47760CC98E}"/>
            </a:ext>
          </a:extLst>
        </xdr:cNvPr>
        <xdr:cNvCxnSpPr/>
      </xdr:nvCxnSpPr>
      <xdr:spPr>
        <a:xfrm>
          <a:off x="9413309" y="1193293"/>
          <a:ext cx="251791" cy="38774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25133</xdr:colOff>
      <xdr:row>4</xdr:row>
      <xdr:rowOff>94124</xdr:rowOff>
    </xdr:from>
    <xdr:to>
      <xdr:col>17</xdr:col>
      <xdr:colOff>416074</xdr:colOff>
      <xdr:row>6</xdr:row>
      <xdr:rowOff>42715</xdr:rowOff>
    </xdr:to>
    <xdr:sp macro="" textlink="">
      <xdr:nvSpPr>
        <xdr:cNvPr id="16" name="TextBox 15">
          <a:extLst>
            <a:ext uri="{FF2B5EF4-FFF2-40B4-BE49-F238E27FC236}">
              <a16:creationId xmlns:a16="http://schemas.microsoft.com/office/drawing/2014/main" id="{FE333CEB-75E2-452C-AE75-2BAF02B2ECF0}"/>
            </a:ext>
          </a:extLst>
        </xdr:cNvPr>
        <xdr:cNvSpPr txBox="1"/>
      </xdr:nvSpPr>
      <xdr:spPr>
        <a:xfrm>
          <a:off x="8528611" y="822994"/>
          <a:ext cx="2213115" cy="3130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solidFill>
                <a:srgbClr val="FF0000"/>
              </a:solidFill>
              <a:latin typeface="Arial Narrow" panose="020B0606020202030204" pitchFamily="34" charset="0"/>
            </a:rPr>
            <a:t>Cossing</a:t>
          </a:r>
          <a:r>
            <a:rPr lang="en-US" sz="1500" b="1" baseline="0">
              <a:solidFill>
                <a:srgbClr val="FF0000"/>
              </a:solidFill>
              <a:latin typeface="Arial Narrow" panose="020B0606020202030204" pitchFamily="34" charset="0"/>
            </a:rPr>
            <a:t> Point (70-100GHz)</a:t>
          </a:r>
          <a:endParaRPr lang="en-US" sz="1500" b="1">
            <a:solidFill>
              <a:srgbClr val="FF0000"/>
            </a:solidFill>
            <a:latin typeface="Arial Narrow" panose="020B0606020202030204" pitchFamily="34" charset="0"/>
          </a:endParaRPr>
        </a:p>
      </xdr:txBody>
    </xdr:sp>
    <xdr:clientData/>
  </xdr:twoCellAnchor>
  <xdr:twoCellAnchor editAs="oneCell">
    <xdr:from>
      <xdr:col>18</xdr:col>
      <xdr:colOff>526016</xdr:colOff>
      <xdr:row>6</xdr:row>
      <xdr:rowOff>54504</xdr:rowOff>
    </xdr:from>
    <xdr:to>
      <xdr:col>20</xdr:col>
      <xdr:colOff>2759</xdr:colOff>
      <xdr:row>6</xdr:row>
      <xdr:rowOff>160934</xdr:rowOff>
    </xdr:to>
    <xdr:pic>
      <xdr:nvPicPr>
        <xdr:cNvPr id="18" name="Grafik 9">
          <a:extLst>
            <a:ext uri="{FF2B5EF4-FFF2-40B4-BE49-F238E27FC236}">
              <a16:creationId xmlns:a16="http://schemas.microsoft.com/office/drawing/2014/main" id="{DC5A151D-F83F-4739-9620-03A2AB5B4E29}"/>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1483050" y="1158090"/>
          <a:ext cx="694192" cy="106430"/>
        </a:xfrm>
        <a:prstGeom prst="rect">
          <a:avLst/>
        </a:prstGeom>
      </xdr:spPr>
    </xdr:pic>
    <xdr:clientData/>
  </xdr:twoCellAnchor>
  <xdr:twoCellAnchor editAs="oneCell">
    <xdr:from>
      <xdr:col>18</xdr:col>
      <xdr:colOff>546288</xdr:colOff>
      <xdr:row>3</xdr:row>
      <xdr:rowOff>74828</xdr:rowOff>
    </xdr:from>
    <xdr:to>
      <xdr:col>19</xdr:col>
      <xdr:colOff>591212</xdr:colOff>
      <xdr:row>6</xdr:row>
      <xdr:rowOff>48482</xdr:rowOff>
    </xdr:to>
    <xdr:pic>
      <xdr:nvPicPr>
        <xdr:cNvPr id="19" name="Picture 18">
          <a:extLst>
            <a:ext uri="{FF2B5EF4-FFF2-40B4-BE49-F238E27FC236}">
              <a16:creationId xmlns:a16="http://schemas.microsoft.com/office/drawing/2014/main" id="{9EDD4EB4-D23D-41CA-86BA-B2535A670D65}"/>
            </a:ext>
          </a:extLst>
        </xdr:cNvPr>
        <xdr:cNvPicPr>
          <a:picLocks noChangeAspect="1"/>
        </xdr:cNvPicPr>
      </xdr:nvPicPr>
      <xdr:blipFill rotWithShape="1">
        <a:blip xmlns:r="http://schemas.openxmlformats.org/officeDocument/2006/relationships" r:embed="rId15"/>
        <a:srcRect l="14555" t="21160" r="15229" b="21428"/>
        <a:stretch/>
      </xdr:blipFill>
      <xdr:spPr>
        <a:xfrm>
          <a:off x="11503322" y="626621"/>
          <a:ext cx="653649" cy="525447"/>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8E4CD0-5796-4A3A-9124-CCB8849FBDA2}" name="Table1" displayName="Table1" ref="A1:AX152" totalsRowShown="0" headerRowDxfId="51" dataDxfId="50">
  <autoFilter ref="A1:AX152" xr:uid="{C38E4CD0-5796-4A3A-9124-CCB8849FBDA2}"/>
  <sortState xmlns:xlrd2="http://schemas.microsoft.com/office/spreadsheetml/2017/richdata2" ref="A2:AX147">
    <sortCondition ref="B2:B147"/>
    <sortCondition ref="C2:C147"/>
    <sortCondition ref="E2:E147"/>
  </sortState>
  <tableColumns count="50">
    <tableColumn id="1" xr3:uid="{5F8AA855-292B-4059-A7CC-82B91D0A51B0}" name="Publication " dataDxfId="49"/>
    <tableColumn id="2" xr3:uid="{7D4585FC-E528-42F0-9917-37EB6CDC9FDF}" name="Year " dataDxfId="48"/>
    <tableColumn id="3" xr3:uid="{DDC38D01-CD4F-4AD8-9C27-C5643EE231A7}" name="Month" dataDxfId="47"/>
    <tableColumn id="4" xr3:uid="{8DF74AB6-5315-4164-B38E-1EE14F694CD9}" name="Last Name (1st Author)" dataDxfId="46"/>
    <tableColumn id="5" xr3:uid="{409C0BB3-8163-489D-8FCB-2BF96838E942}" name="Paper Title" dataDxfId="45"/>
    <tableColumn id="6" xr3:uid="{3C6FF58B-D3A9-499C-A0FC-0B3A661FEC19}" name="Type (TX, RX, TRX, Oscillator)" dataDxfId="44"/>
    <tableColumn id="7" xr3:uid="{40089CDE-9ADE-4642-BCB3-15122E470C99}" name="Process (CMOS_Bulk, CMOS_SOI, CMOS_FinFET, SiGe)" dataDxfId="43"/>
    <tableColumn id="20" xr3:uid="{0DF5BD76-6D9F-4A81-90BB-E159F0C28D2A}" name="Tech Node (nm)" dataDxfId="42"/>
    <tableColumn id="10" xr3:uid="{740FCB50-D07F-4356-A9FB-71B95ECBF238}" name="Frequency (GHz)" dataDxfId="41"/>
    <tableColumn id="8" xr3:uid="{FDF4C6AF-AE85-4D60-BC3C-E23EF7A0E639}" name="Total Number of Elements (TX + RX)" dataDxfId="40"/>
    <tableColumn id="9" xr3:uid="{7427F5F3-FFE7-4C5E-BF11-8F175C1A333C}" name="Dimension (1D, 2D)" dataDxfId="39"/>
    <tableColumn id="25" xr3:uid="{4426AAEB-D885-4B39-B9A4-2BC226C90BC0}" name="Total # of TX Elements" dataDxfId="38">
      <calculatedColumnFormula>AD2*AB2*Y2</calculatedColumnFormula>
    </tableColumn>
    <tableColumn id="26" xr3:uid="{D039503A-5A07-4EC3-B463-F4684321BD87}" name="Total # of RX Elements" dataDxfId="37">
      <calculatedColumnFormula>AE2*AB2*Y2</calculatedColumnFormula>
    </tableColumn>
    <tableColumn id="24" xr3:uid="{93040953-D54C-43F6-8A14-47A0F34F1201}" name="TX # of Polarization" dataDxfId="36"/>
    <tableColumn id="27" xr3:uid="{F7A90C2F-9459-46BB-9924-B27695A16C4D}" name="RX # of Polarization" dataDxfId="35"/>
    <tableColumn id="22" xr3:uid="{CAC557D8-E25E-41C4-B0A1-F54F9F82EBA3}" name="Antenna on (None, Chip, AiP, PCB)" dataDxfId="34"/>
    <tableColumn id="30" xr3:uid="{26B22A8D-7737-47B1-836F-5CCE113EA5DC}" name="TX EIRP (dBm)" dataDxfId="33"/>
    <tableColumn id="45" xr3:uid="{99B166F6-FEEA-4595-BA69-C466F79423AA}" name=" # of Elements @ EIRP Measurement" dataDxfId="32">
      <calculatedColumnFormula>IF(Q2="","",Y2*AA2)</calculatedColumnFormula>
    </tableColumn>
    <tableColumn id="32" xr3:uid="{B0D222FF-19EB-43E4-A4D6-B37401F784E3}" name="Total Pout/Prad (dBm)" dataDxfId="31">
      <calculatedColumnFormula>IF(AQ2="","N/A",10*LOG10(10^(AQ2/10)*AD2*AB2*Y2))</calculatedColumnFormula>
    </tableColumn>
    <tableColumn id="33" xr3:uid="{7BC5FD63-C451-4D33-9F0A-77D9FC8D96B4}" name="TX Pdc (W)" dataDxfId="30">
      <calculatedColumnFormula>IF(AV2="","N/A",AV2*AD2*AB2*Y2/1000)</calculatedColumnFormula>
    </tableColumn>
    <tableColumn id="34" xr3:uid="{7F1F8C14-A26B-4375-AFF7-7DD3D8D5ECD1}" name="RX Pdc (W)" dataDxfId="29">
      <calculatedColumnFormula>IF(AW2="","N/A",AW2*AE2*AB2*Y2/1000)</calculatedColumnFormula>
    </tableColumn>
    <tableColumn id="46" xr3:uid="{668921EC-C673-4465-972C-95DCCC62DDC0}" name="Max Package Thermal Density (W/cm2)" dataDxfId="28">
      <calculatedColumnFormula>IF(OR(ISNUMBER(Table1[[#This Row],[TX Pdc (W)]]), ISNUMBER(Table1[[#This Row],[RX Pdc (W)]])),MAX(Table1[[#This Row],[TX Pdc (W)]],Table1[[#This Row],[RX Pdc (W)]])/Table1[[#This Row],[Array Aperture Size (cm2)]],"N/A")</calculatedColumnFormula>
    </tableColumn>
    <tableColumn id="47" xr3:uid="{BE41D69C-1001-4BB2-BEF0-3B11C944C9DF}" name="Max Chip Thermal Density (W/cm2)" dataDxfId="27">
      <calculatedColumnFormula>IF(OR(ISNUMBER(Table1[[#This Row],[TX Pdc (W)]]), ISNUMBER(Table1[[#This Row],[RX Pdc (W)]])),MAX(Table1[[#This Row],[TX Pdc (W)]],Table1[[#This Row],[RX Pdc (W)]])/(Table1[[#This Row],['# of Array Tile]]*Table1[[#This Row],['# of IC per Tile]])/(Table1[[#This Row],[Chip Size (mm2)]]*0.01),"N/A")</calculatedColumnFormula>
    </tableColumn>
    <tableColumn id="29" xr3:uid="{9EB990F6-B393-4360-8C0D-DA35E73D4706}" name="Physical Architecture" dataDxfId="26"/>
    <tableColumn id="23" xr3:uid="{264CEA36-2AD9-4D86-B497-8D77B3F83CAD}" name="# of Array Tile" dataDxfId="25"/>
    <tableColumn id="43" xr3:uid="{85C5E810-A817-4E49-B274-FF8E0285475A}" name="Antenna Integration Type" dataDxfId="24"/>
    <tableColumn id="21" xr3:uid="{53317E4B-97BB-42A3-BF96-7B7ACF401F64}" name="# of Antennas per Tile" dataDxfId="23"/>
    <tableColumn id="28" xr3:uid="{FB33C00C-B370-4069-818F-B953D67B0944}" name="# of IC per Tile" dataDxfId="22"/>
    <tableColumn id="49" xr3:uid="{228F41E5-6E26-4C30-9E02-0234C0CAE6C0}" name="TX RX Co-Aperture (YES/NO)" dataDxfId="21"/>
    <tableColumn id="41" xr3:uid="{E40584D1-6910-44F2-BA5A-D415B6C39C21}" name="# of TX Element per IC" dataDxfId="20"/>
    <tableColumn id="42" xr3:uid="{3C2DEAAB-AFCE-4713-9CFB-21D4436C55AE}" name="# of RX Element per IC" dataDxfId="19"/>
    <tableColumn id="35" xr3:uid="{BD48A633-189E-48F4-A38B-941761C99533}" name="Array Aperture Dimension -X (cm)" dataDxfId="18"/>
    <tableColumn id="37" xr3:uid="{B835F9EE-78CA-4813-9E11-698A0545F0AE}" name="Array Aperture Dimension -Y (cm)" dataDxfId="17"/>
    <tableColumn id="38" xr3:uid="{A7B30ED8-AEC4-48C8-8DE2-691C164B85E1}" name="Array Aperture Size (cm2)" dataDxfId="16">
      <calculatedColumnFormula>AF2*AG2</calculatedColumnFormula>
    </tableColumn>
    <tableColumn id="36" xr3:uid="{4BCEC131-7770-4473-A1B4-A04B7B1AD7E2}" name="Array Aperture Area / Element (mm2)" dataDxfId="15">
      <calculatedColumnFormula>(AH2*100/(Y2*AA2))</calculatedColumnFormula>
    </tableColumn>
    <tableColumn id="51" xr3:uid="{FDF2807E-C88C-40D9-A471-298DC31D479F}" name="Chip Size -X (mm)" dataDxfId="14"/>
    <tableColumn id="50" xr3:uid="{BA81ABDA-0BFC-4A6C-BC8E-379AFFA2FCC4}" name="Chip Size - Y (mm)" dataDxfId="13"/>
    <tableColumn id="48" xr3:uid="{911E6CA4-4451-424C-826F-514D9716F93B}" name="Chip Size (mm2)" dataDxfId="12">
      <calculatedColumnFormula>Table1[[#This Row],[Chip Size -X (mm)]]*Table1[[#This Row],[Chip Size - Y (mm)]]</calculatedColumnFormula>
    </tableColumn>
    <tableColumn id="11" xr3:uid="{F876FAFA-D56D-4AE5-A335-CDCF920EFE32}" name="Chip Core Size - X (mm)" dataDxfId="11"/>
    <tableColumn id="12" xr3:uid="{64FF24C0-9721-4CEB-8ADC-A5997CDB7C71}" name="Chip Core Size -Y (mm)" dataDxfId="10"/>
    <tableColumn id="13" xr3:uid="{C1110D4C-8314-482A-A7B6-A4FAF890430C}" name="Chip Core Area / Element (mm2)" dataDxfId="9">
      <calculatedColumnFormula>(AM2*AN2/(AD2+AE2)*MAX(AD2,AE2)*2)/MAX(AD2,AE2)</calculatedColumnFormula>
    </tableColumn>
    <tableColumn id="14" xr3:uid="{23BF29B6-0193-48A9-A7A3-B2EFDCF458FE}" name="Single Element Performance" dataDxfId="8"/>
    <tableColumn id="15" xr3:uid="{51D725C0-FF28-45E2-9D97-8E936196FDCD}" name="TX Psat/Prad (dBm)" dataDxfId="7"/>
    <tableColumn id="16" xr3:uid="{30318710-50DF-4F83-AF6F-1DB000E92B69}" name="TX Efficiency (%)" dataDxfId="6"/>
    <tableColumn id="17" xr3:uid="{8F1140C4-B1A0-45A4-8387-CB03127BE614}" name="TX Conversion Gain (dB)" dataDxfId="5"/>
    <tableColumn id="18" xr3:uid="{B2E62A14-5FCF-437A-A353-C22E6B739B87}" name="RX NF (dB)" dataDxfId="4"/>
    <tableColumn id="19" xr3:uid="{16DCF732-A1C3-4A0C-AD92-C00AE33293A7}" name="RX Conversion Gain (dB)" dataDxfId="3"/>
    <tableColumn id="39" xr3:uid="{D913BB4A-8380-42E4-9515-CD23F245744B}" name="TX Pdc (mW)" dataDxfId="2"/>
    <tableColumn id="40" xr3:uid="{05A89077-B5E4-4B1D-9A57-6A43FC1859F2}" name="RX Pdc (mW)" dataDxfId="1"/>
    <tableColumn id="44" xr3:uid="{87C96543-874A-48E4-87D5-30C02703A269}" name="Not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ieeexplore.ieee.org/document/9731619" TargetMode="External"/><Relationship Id="rId21" Type="http://schemas.openxmlformats.org/officeDocument/2006/relationships/hyperlink" Target="https://ieeexplore.ieee.org/abstract/document/7747488" TargetMode="External"/><Relationship Id="rId42" Type="http://schemas.openxmlformats.org/officeDocument/2006/relationships/hyperlink" Target="https://ieeexplore.ieee.org/document/8662425" TargetMode="External"/><Relationship Id="rId63" Type="http://schemas.openxmlformats.org/officeDocument/2006/relationships/hyperlink" Target="https://ieeexplore.ieee.org/document/9206071" TargetMode="External"/><Relationship Id="rId84" Type="http://schemas.openxmlformats.org/officeDocument/2006/relationships/hyperlink" Target="https://ieeexplore.ieee.org/document/9660369" TargetMode="External"/><Relationship Id="rId138" Type="http://schemas.openxmlformats.org/officeDocument/2006/relationships/hyperlink" Target="https://ieeexplore.ieee.org/document/10070590" TargetMode="External"/><Relationship Id="rId107" Type="http://schemas.openxmlformats.org/officeDocument/2006/relationships/hyperlink" Target="https://ieeexplore.ieee.org/document/9865316" TargetMode="External"/><Relationship Id="rId11" Type="http://schemas.openxmlformats.org/officeDocument/2006/relationships/hyperlink" Target="https://ieeexplore.ieee.org/document/6236049" TargetMode="External"/><Relationship Id="rId32" Type="http://schemas.openxmlformats.org/officeDocument/2006/relationships/hyperlink" Target="https://ieeexplore.ieee.org/document/8310186" TargetMode="External"/><Relationship Id="rId53" Type="http://schemas.openxmlformats.org/officeDocument/2006/relationships/hyperlink" Target="https://ieeexplore.ieee.org/document/9063037" TargetMode="External"/><Relationship Id="rId74" Type="http://schemas.openxmlformats.org/officeDocument/2006/relationships/hyperlink" Target="https://ieeexplore.ieee.org/document/9424172" TargetMode="External"/><Relationship Id="rId128" Type="http://schemas.openxmlformats.org/officeDocument/2006/relationships/hyperlink" Target="https://ieeexplore.ieee.org/document/10034795" TargetMode="External"/><Relationship Id="rId149" Type="http://schemas.openxmlformats.org/officeDocument/2006/relationships/hyperlink" Target="https://ieeexplore.ieee.org/document/9863076" TargetMode="External"/><Relationship Id="rId5" Type="http://schemas.openxmlformats.org/officeDocument/2006/relationships/hyperlink" Target="https://ieeexplore.ieee.org/document/10005812" TargetMode="External"/><Relationship Id="rId95" Type="http://schemas.openxmlformats.org/officeDocument/2006/relationships/hyperlink" Target="https://ieeexplore.ieee.org/document/9731557" TargetMode="External"/><Relationship Id="rId22" Type="http://schemas.openxmlformats.org/officeDocument/2006/relationships/hyperlink" Target="https://ieeexplore.ieee.org/abstract/document/7747488" TargetMode="External"/><Relationship Id="rId27" Type="http://schemas.openxmlformats.org/officeDocument/2006/relationships/hyperlink" Target="https://ieeexplore.ieee.org/document/8310237" TargetMode="External"/><Relationship Id="rId43" Type="http://schemas.openxmlformats.org/officeDocument/2006/relationships/hyperlink" Target="https://ieeexplore.ieee.org/document/8662496" TargetMode="External"/><Relationship Id="rId48" Type="http://schemas.openxmlformats.org/officeDocument/2006/relationships/hyperlink" Target="https://ieeexplore.ieee.org/document/8789536" TargetMode="External"/><Relationship Id="rId64" Type="http://schemas.openxmlformats.org/officeDocument/2006/relationships/hyperlink" Target="https://ieeexplore.ieee.org/document/9365813" TargetMode="External"/><Relationship Id="rId69" Type="http://schemas.openxmlformats.org/officeDocument/2006/relationships/hyperlink" Target="https://ieeexplore.ieee.org/document/9366049" TargetMode="External"/><Relationship Id="rId113" Type="http://schemas.openxmlformats.org/officeDocument/2006/relationships/hyperlink" Target="https://ieeexplore.ieee.org/document/9894090" TargetMode="External"/><Relationship Id="rId118" Type="http://schemas.openxmlformats.org/officeDocument/2006/relationships/hyperlink" Target="https://ieeexplore.ieee.org/document/9731619" TargetMode="External"/><Relationship Id="rId134" Type="http://schemas.openxmlformats.org/officeDocument/2006/relationships/hyperlink" Target="https://ieeexplore.ieee.org/document/10067317" TargetMode="External"/><Relationship Id="rId139" Type="http://schemas.openxmlformats.org/officeDocument/2006/relationships/hyperlink" Target="https://ieeexplore.ieee.org/document/10186157" TargetMode="External"/><Relationship Id="rId80" Type="http://schemas.openxmlformats.org/officeDocument/2006/relationships/hyperlink" Target="https://ieeexplore.ieee.org/document/9495103" TargetMode="External"/><Relationship Id="rId85" Type="http://schemas.openxmlformats.org/officeDocument/2006/relationships/hyperlink" Target="https://ieeexplore.ieee.org/document/9660369" TargetMode="External"/><Relationship Id="rId150" Type="http://schemas.openxmlformats.org/officeDocument/2006/relationships/hyperlink" Target="https://www.nature.com/articles/s41928-020-00497-2" TargetMode="External"/><Relationship Id="rId12" Type="http://schemas.openxmlformats.org/officeDocument/2006/relationships/hyperlink" Target="https://ieeexplore.ieee.org/document/6236049" TargetMode="External"/><Relationship Id="rId17" Type="http://schemas.openxmlformats.org/officeDocument/2006/relationships/hyperlink" Target="https://ieeexplore.ieee.org/document/8353471" TargetMode="External"/><Relationship Id="rId33" Type="http://schemas.openxmlformats.org/officeDocument/2006/relationships/hyperlink" Target="https://ieeexplore.ieee.org/document/8310190" TargetMode="External"/><Relationship Id="rId38" Type="http://schemas.openxmlformats.org/officeDocument/2006/relationships/hyperlink" Target="https://ieeexplore.ieee.org/document/8436439" TargetMode="External"/><Relationship Id="rId59" Type="http://schemas.openxmlformats.org/officeDocument/2006/relationships/hyperlink" Target="https://ieeexplore.ieee.org/document/9218409" TargetMode="External"/><Relationship Id="rId103" Type="http://schemas.openxmlformats.org/officeDocument/2006/relationships/hyperlink" Target="https://ieeexplore.ieee.org/document/9769743" TargetMode="External"/><Relationship Id="rId108" Type="http://schemas.openxmlformats.org/officeDocument/2006/relationships/hyperlink" Target="https://ieeexplore.ieee.org/document/9865349" TargetMode="External"/><Relationship Id="rId124" Type="http://schemas.openxmlformats.org/officeDocument/2006/relationships/hyperlink" Target="https://ieeexplore.ieee.org/document/9996184" TargetMode="External"/><Relationship Id="rId129" Type="http://schemas.openxmlformats.org/officeDocument/2006/relationships/hyperlink" Target="https://ieeexplore.ieee.org/document/10067455" TargetMode="External"/><Relationship Id="rId54" Type="http://schemas.openxmlformats.org/officeDocument/2006/relationships/hyperlink" Target="https://ieeexplore.ieee.org/document/9218300" TargetMode="External"/><Relationship Id="rId70" Type="http://schemas.openxmlformats.org/officeDocument/2006/relationships/hyperlink" Target="https://ieeexplore.ieee.org/document/9366041" TargetMode="External"/><Relationship Id="rId75" Type="http://schemas.openxmlformats.org/officeDocument/2006/relationships/hyperlink" Target="https://ieeexplore.ieee.org/document/9490428" TargetMode="External"/><Relationship Id="rId91" Type="http://schemas.openxmlformats.org/officeDocument/2006/relationships/hyperlink" Target="https://ieeexplore.ieee.org/document/9731637" TargetMode="External"/><Relationship Id="rId96" Type="http://schemas.openxmlformats.org/officeDocument/2006/relationships/hyperlink" Target="https://ieeexplore.ieee.org/document/9731745" TargetMode="External"/><Relationship Id="rId140" Type="http://schemas.openxmlformats.org/officeDocument/2006/relationships/hyperlink" Target="https://ieeexplore.ieee.org/document/6757425" TargetMode="External"/><Relationship Id="rId145" Type="http://schemas.openxmlformats.org/officeDocument/2006/relationships/hyperlink" Target="https://ieeexplore.ieee.org/document/5746265" TargetMode="External"/><Relationship Id="rId1" Type="http://schemas.openxmlformats.org/officeDocument/2006/relationships/hyperlink" Target="https://ieeexplore.ieee.org/document/9903947" TargetMode="External"/><Relationship Id="rId6" Type="http://schemas.openxmlformats.org/officeDocument/2006/relationships/hyperlink" Target="https://ieeexplore.ieee.org/document/10058709" TargetMode="External"/><Relationship Id="rId23" Type="http://schemas.openxmlformats.org/officeDocument/2006/relationships/hyperlink" Target="https://ieeexplore.ieee.org/document/7870294" TargetMode="External"/><Relationship Id="rId28" Type="http://schemas.openxmlformats.org/officeDocument/2006/relationships/hyperlink" Target="https://ieeexplore.ieee.org/document/8310237" TargetMode="External"/><Relationship Id="rId49" Type="http://schemas.openxmlformats.org/officeDocument/2006/relationships/hyperlink" Target="https://ieeexplore.ieee.org/document/9063025" TargetMode="External"/><Relationship Id="rId114" Type="http://schemas.openxmlformats.org/officeDocument/2006/relationships/hyperlink" Target="https://ieeexplore.ieee.org/document/9894090" TargetMode="External"/><Relationship Id="rId119" Type="http://schemas.openxmlformats.org/officeDocument/2006/relationships/hyperlink" Target="https://ieeexplore.ieee.org/document/9731619" TargetMode="External"/><Relationship Id="rId44" Type="http://schemas.openxmlformats.org/officeDocument/2006/relationships/hyperlink" Target="https://ieeexplore.ieee.org/document/8662314" TargetMode="External"/><Relationship Id="rId60" Type="http://schemas.openxmlformats.org/officeDocument/2006/relationships/hyperlink" Target="https://ieeexplore.ieee.org/document/9218409'" TargetMode="External"/><Relationship Id="rId65" Type="http://schemas.openxmlformats.org/officeDocument/2006/relationships/hyperlink" Target="https://ieeexplore.ieee.org/document/9365813" TargetMode="External"/><Relationship Id="rId81" Type="http://schemas.openxmlformats.org/officeDocument/2006/relationships/hyperlink" Target="https://ieeexplore.ieee.org/document/9643038" TargetMode="External"/><Relationship Id="rId86" Type="http://schemas.openxmlformats.org/officeDocument/2006/relationships/hyperlink" Target="https://ieeexplore.ieee.org/document/9690578" TargetMode="External"/><Relationship Id="rId130" Type="http://schemas.openxmlformats.org/officeDocument/2006/relationships/hyperlink" Target="https://ieeexplore.ieee.org/document/10067439" TargetMode="External"/><Relationship Id="rId135" Type="http://schemas.openxmlformats.org/officeDocument/2006/relationships/hyperlink" Target="https://ieeexplore.ieee.org/document/10067317" TargetMode="External"/><Relationship Id="rId151" Type="http://schemas.openxmlformats.org/officeDocument/2006/relationships/hyperlink" Target="https://ieeexplore.ieee.org/document/10268697" TargetMode="External"/><Relationship Id="rId13" Type="http://schemas.openxmlformats.org/officeDocument/2006/relationships/hyperlink" Target="https://ieeexplore.ieee.org/document/6239564" TargetMode="External"/><Relationship Id="rId18" Type="http://schemas.openxmlformats.org/officeDocument/2006/relationships/hyperlink" Target="https://ieeexplore.ieee.org/document/8353471" TargetMode="External"/><Relationship Id="rId39" Type="http://schemas.openxmlformats.org/officeDocument/2006/relationships/hyperlink" Target="https://ieeexplore.ieee.org/document/8470156" TargetMode="External"/><Relationship Id="rId109" Type="http://schemas.openxmlformats.org/officeDocument/2006/relationships/hyperlink" Target="https://ieeexplore.ieee.org/document/9817458" TargetMode="External"/><Relationship Id="rId34" Type="http://schemas.openxmlformats.org/officeDocument/2006/relationships/hyperlink" Target="https://ieeexplore.ieee.org/document/8310190" TargetMode="External"/><Relationship Id="rId50" Type="http://schemas.openxmlformats.org/officeDocument/2006/relationships/hyperlink" Target="https://ieeexplore.ieee.org/document/9063139" TargetMode="External"/><Relationship Id="rId55" Type="http://schemas.openxmlformats.org/officeDocument/2006/relationships/hyperlink" Target="https://ieeexplore.ieee.org/document/9218437" TargetMode="External"/><Relationship Id="rId76" Type="http://schemas.openxmlformats.org/officeDocument/2006/relationships/hyperlink" Target="https://ieeexplore.ieee.org/document/9490428" TargetMode="External"/><Relationship Id="rId97" Type="http://schemas.openxmlformats.org/officeDocument/2006/relationships/hyperlink" Target="https://ieeexplore.ieee.org/document/9731698" TargetMode="External"/><Relationship Id="rId104" Type="http://schemas.openxmlformats.org/officeDocument/2006/relationships/hyperlink" Target="https://ieeexplore.ieee.org/document/9790820" TargetMode="External"/><Relationship Id="rId120" Type="http://schemas.openxmlformats.org/officeDocument/2006/relationships/hyperlink" Target="https://ieeexplore.ieee.org/document/9731619" TargetMode="External"/><Relationship Id="rId125" Type="http://schemas.openxmlformats.org/officeDocument/2006/relationships/hyperlink" Target="https://ieeexplore.ieee.org/document/9996184" TargetMode="External"/><Relationship Id="rId141" Type="http://schemas.openxmlformats.org/officeDocument/2006/relationships/hyperlink" Target="https://ieeexplore.ieee.org/document/5754329" TargetMode="External"/><Relationship Id="rId146" Type="http://schemas.openxmlformats.org/officeDocument/2006/relationships/hyperlink" Target="https://ieeexplore.ieee.org/document/5746265" TargetMode="External"/><Relationship Id="rId7" Type="http://schemas.openxmlformats.org/officeDocument/2006/relationships/hyperlink" Target="https://ieeexplore.ieee.org/document/10086989" TargetMode="External"/><Relationship Id="rId71" Type="http://schemas.openxmlformats.org/officeDocument/2006/relationships/hyperlink" Target="https://ieeexplore.ieee.org/document/9288990" TargetMode="External"/><Relationship Id="rId92" Type="http://schemas.openxmlformats.org/officeDocument/2006/relationships/hyperlink" Target="https://ieeexplore.ieee.org/document/9731664" TargetMode="External"/><Relationship Id="rId2" Type="http://schemas.openxmlformats.org/officeDocument/2006/relationships/hyperlink" Target="https://ieeexplore.ieee.org/document/9904899" TargetMode="External"/><Relationship Id="rId29" Type="http://schemas.openxmlformats.org/officeDocument/2006/relationships/hyperlink" Target="https://ieeexplore.ieee.org/document/8310187" TargetMode="External"/><Relationship Id="rId24" Type="http://schemas.openxmlformats.org/officeDocument/2006/relationships/hyperlink" Target="https://ieeexplore.ieee.org/document/7870382" TargetMode="External"/><Relationship Id="rId40" Type="http://schemas.openxmlformats.org/officeDocument/2006/relationships/hyperlink" Target="https://ieeexplore.ieee.org/document/8662357" TargetMode="External"/><Relationship Id="rId45" Type="http://schemas.openxmlformats.org/officeDocument/2006/relationships/hyperlink" Target="https://ieeexplore.ieee.org/document/8701808" TargetMode="External"/><Relationship Id="rId66" Type="http://schemas.openxmlformats.org/officeDocument/2006/relationships/hyperlink" Target="https://ieeexplore.ieee.org/document/9365759" TargetMode="External"/><Relationship Id="rId87" Type="http://schemas.openxmlformats.org/officeDocument/2006/relationships/hyperlink" Target="https://ieeexplore.ieee.org/document/9492431" TargetMode="External"/><Relationship Id="rId110" Type="http://schemas.openxmlformats.org/officeDocument/2006/relationships/hyperlink" Target="https://ieeexplore.ieee.org/document/9817102" TargetMode="External"/><Relationship Id="rId115" Type="http://schemas.openxmlformats.org/officeDocument/2006/relationships/hyperlink" Target="https://ieeexplore.ieee.org/document/9933348" TargetMode="External"/><Relationship Id="rId131" Type="http://schemas.openxmlformats.org/officeDocument/2006/relationships/hyperlink" Target="https://ieeexplore.ieee.org/document/10067629" TargetMode="External"/><Relationship Id="rId136" Type="http://schemas.openxmlformats.org/officeDocument/2006/relationships/hyperlink" Target="https://ieeexplore.ieee.org/document/10067445" TargetMode="External"/><Relationship Id="rId61" Type="http://schemas.openxmlformats.org/officeDocument/2006/relationships/hyperlink" Target="https://ieeexplore.ieee.org/document/9102243" TargetMode="External"/><Relationship Id="rId82" Type="http://schemas.openxmlformats.org/officeDocument/2006/relationships/hyperlink" Target="https://ieeexplore.ieee.org/document/9663028" TargetMode="External"/><Relationship Id="rId152" Type="http://schemas.openxmlformats.org/officeDocument/2006/relationships/printerSettings" Target="../printerSettings/printerSettings2.bin"/><Relationship Id="rId19" Type="http://schemas.openxmlformats.org/officeDocument/2006/relationships/hyperlink" Target="https://ieeexplore.ieee.org/abstract/document/7448383" TargetMode="External"/><Relationship Id="rId14" Type="http://schemas.openxmlformats.org/officeDocument/2006/relationships/hyperlink" Target="https://ieeexplore.ieee.org/document/6569608" TargetMode="External"/><Relationship Id="rId30" Type="http://schemas.openxmlformats.org/officeDocument/2006/relationships/hyperlink" Target="https://ieeexplore.ieee.org/document/8310187" TargetMode="External"/><Relationship Id="rId35" Type="http://schemas.openxmlformats.org/officeDocument/2006/relationships/hyperlink" Target="https://ieeexplore.ieee.org/document/8485924" TargetMode="External"/><Relationship Id="rId56" Type="http://schemas.openxmlformats.org/officeDocument/2006/relationships/hyperlink" Target="https://ieeexplore.ieee.org/document/9218437" TargetMode="External"/><Relationship Id="rId77" Type="http://schemas.openxmlformats.org/officeDocument/2006/relationships/hyperlink" Target="https://ieeexplore.ieee.org/document/9416306" TargetMode="External"/><Relationship Id="rId100" Type="http://schemas.openxmlformats.org/officeDocument/2006/relationships/hyperlink" Target="https://ieeexplore.ieee.org/document/9731671" TargetMode="External"/><Relationship Id="rId105" Type="http://schemas.openxmlformats.org/officeDocument/2006/relationships/hyperlink" Target="https://ieeexplore.ieee.org/document/9865359" TargetMode="External"/><Relationship Id="rId126" Type="http://schemas.openxmlformats.org/officeDocument/2006/relationships/hyperlink" Target="https://ieeexplore.ieee.org/document/10025717" TargetMode="External"/><Relationship Id="rId147" Type="http://schemas.openxmlformats.org/officeDocument/2006/relationships/hyperlink" Target="https://ieeexplore.ieee.org/document/6377237" TargetMode="External"/><Relationship Id="rId8" Type="http://schemas.openxmlformats.org/officeDocument/2006/relationships/hyperlink" Target="https://ieeexplore.ieee.org/document/10073945" TargetMode="External"/><Relationship Id="rId51" Type="http://schemas.openxmlformats.org/officeDocument/2006/relationships/hyperlink" Target="https://ieeexplore.ieee.org/document/9063076" TargetMode="External"/><Relationship Id="rId72" Type="http://schemas.openxmlformats.org/officeDocument/2006/relationships/hyperlink" Target="https://ieeexplore.ieee.org/document/9374794" TargetMode="External"/><Relationship Id="rId93" Type="http://schemas.openxmlformats.org/officeDocument/2006/relationships/hyperlink" Target="https://ieeexplore.ieee.org/document/9731664" TargetMode="External"/><Relationship Id="rId98" Type="http://schemas.openxmlformats.org/officeDocument/2006/relationships/hyperlink" Target="https://ieeexplore.ieee.org/document/9731663" TargetMode="External"/><Relationship Id="rId121" Type="http://schemas.openxmlformats.org/officeDocument/2006/relationships/hyperlink" Target="https://ieeexplore.ieee.org/document/9966606" TargetMode="External"/><Relationship Id="rId142" Type="http://schemas.openxmlformats.org/officeDocument/2006/relationships/hyperlink" Target="https://ieeexplore.ieee.org/document/5604676" TargetMode="External"/><Relationship Id="rId3" Type="http://schemas.openxmlformats.org/officeDocument/2006/relationships/hyperlink" Target="https://ieeexplore.ieee.org/document/9933750" TargetMode="External"/><Relationship Id="rId25" Type="http://schemas.openxmlformats.org/officeDocument/2006/relationships/hyperlink" Target="https://ieeexplore.ieee.org/document/7870382" TargetMode="External"/><Relationship Id="rId46" Type="http://schemas.openxmlformats.org/officeDocument/2006/relationships/hyperlink" Target="https://ieeexplore.ieee.org/document/8701808" TargetMode="External"/><Relationship Id="rId67" Type="http://schemas.openxmlformats.org/officeDocument/2006/relationships/hyperlink" Target="https://ieeexplore.ieee.org/document/9365968" TargetMode="External"/><Relationship Id="rId116" Type="http://schemas.openxmlformats.org/officeDocument/2006/relationships/hyperlink" Target="https://ieeexplore.ieee.org/document/9921411" TargetMode="External"/><Relationship Id="rId137" Type="http://schemas.openxmlformats.org/officeDocument/2006/relationships/hyperlink" Target="https://ieeexplore.ieee.org/document/10068494" TargetMode="External"/><Relationship Id="rId20" Type="http://schemas.openxmlformats.org/officeDocument/2006/relationships/hyperlink" Target="https://ieeexplore.ieee.org/document/7600377" TargetMode="External"/><Relationship Id="rId41" Type="http://schemas.openxmlformats.org/officeDocument/2006/relationships/hyperlink" Target="https://ieeexplore.ieee.org/document/8662425" TargetMode="External"/><Relationship Id="rId62" Type="http://schemas.openxmlformats.org/officeDocument/2006/relationships/hyperlink" Target="https://ieeexplore.ieee.org/document/9286867" TargetMode="External"/><Relationship Id="rId83" Type="http://schemas.openxmlformats.org/officeDocument/2006/relationships/hyperlink" Target="https://ieeexplore.ieee.org/document/9660369" TargetMode="External"/><Relationship Id="rId88" Type="http://schemas.openxmlformats.org/officeDocument/2006/relationships/hyperlink" Target="https://ieeexplore.ieee.org/document/9674742" TargetMode="External"/><Relationship Id="rId111" Type="http://schemas.openxmlformats.org/officeDocument/2006/relationships/hyperlink" Target="https://ieeexplore.ieee.org/document/9831176" TargetMode="External"/><Relationship Id="rId132" Type="http://schemas.openxmlformats.org/officeDocument/2006/relationships/hyperlink" Target="https://ieeexplore.ieee.org/document/10067847" TargetMode="External"/><Relationship Id="rId153" Type="http://schemas.openxmlformats.org/officeDocument/2006/relationships/table" Target="../tables/table1.xml"/><Relationship Id="rId15" Type="http://schemas.openxmlformats.org/officeDocument/2006/relationships/hyperlink" Target="https://ieeexplore.ieee.org/document/6731809" TargetMode="External"/><Relationship Id="rId36" Type="http://schemas.openxmlformats.org/officeDocument/2006/relationships/hyperlink" Target="https://ieeexplore.ieee.org/document/8424053" TargetMode="External"/><Relationship Id="rId57" Type="http://schemas.openxmlformats.org/officeDocument/2006/relationships/hyperlink" Target="https://ieeexplore.ieee.org/document/9218427" TargetMode="External"/><Relationship Id="rId106" Type="http://schemas.openxmlformats.org/officeDocument/2006/relationships/hyperlink" Target="https://ieeexplore.ieee.org/document/9865316" TargetMode="External"/><Relationship Id="rId127" Type="http://schemas.openxmlformats.org/officeDocument/2006/relationships/hyperlink" Target="https://ieeexplore.ieee.org/document/10067731" TargetMode="External"/><Relationship Id="rId10" Type="http://schemas.openxmlformats.org/officeDocument/2006/relationships/hyperlink" Target="https://ieeexplore.ieee.org/document/6242263" TargetMode="External"/><Relationship Id="rId31" Type="http://schemas.openxmlformats.org/officeDocument/2006/relationships/hyperlink" Target="https://ieeexplore.ieee.org/abstract/document/8310188" TargetMode="External"/><Relationship Id="rId52" Type="http://schemas.openxmlformats.org/officeDocument/2006/relationships/hyperlink" Target="https://ieeexplore.ieee.org/document/9062916" TargetMode="External"/><Relationship Id="rId73" Type="http://schemas.openxmlformats.org/officeDocument/2006/relationships/hyperlink" Target="https://ieeexplore.ieee.org/document/9411744" TargetMode="External"/><Relationship Id="rId78" Type="http://schemas.openxmlformats.org/officeDocument/2006/relationships/hyperlink" Target="https://ieeexplore.ieee.org/document/9512032" TargetMode="External"/><Relationship Id="rId94" Type="http://schemas.openxmlformats.org/officeDocument/2006/relationships/hyperlink" Target="https://ieeexplore.ieee.org/document/9731108" TargetMode="External"/><Relationship Id="rId99" Type="http://schemas.openxmlformats.org/officeDocument/2006/relationships/hyperlink" Target="https://ieeexplore.ieee.org/document/9715720" TargetMode="External"/><Relationship Id="rId101" Type="http://schemas.openxmlformats.org/officeDocument/2006/relationships/hyperlink" Target="https://ieeexplore.ieee.org/document/9731626" TargetMode="External"/><Relationship Id="rId122" Type="http://schemas.openxmlformats.org/officeDocument/2006/relationships/hyperlink" Target="https://ieeexplore.ieee.org/document/9966606" TargetMode="External"/><Relationship Id="rId143" Type="http://schemas.openxmlformats.org/officeDocument/2006/relationships/hyperlink" Target="https://ieeexplore.ieee.org/document/6918546" TargetMode="External"/><Relationship Id="rId148" Type="http://schemas.openxmlformats.org/officeDocument/2006/relationships/hyperlink" Target="https://ieeexplore.ieee.org/document/9863076" TargetMode="External"/><Relationship Id="rId4" Type="http://schemas.openxmlformats.org/officeDocument/2006/relationships/hyperlink" Target="https://ieeexplore.ieee.org/document/9830274" TargetMode="External"/><Relationship Id="rId9" Type="http://schemas.openxmlformats.org/officeDocument/2006/relationships/hyperlink" Target="https://ieeexplore.ieee.org/document/10186155" TargetMode="External"/><Relationship Id="rId26" Type="http://schemas.openxmlformats.org/officeDocument/2006/relationships/hyperlink" Target="https://ieeexplore.ieee.org/document/7993664" TargetMode="External"/><Relationship Id="rId47" Type="http://schemas.openxmlformats.org/officeDocument/2006/relationships/hyperlink" Target="https://ieeexplore.ieee.org/document/9052488" TargetMode="External"/><Relationship Id="rId68" Type="http://schemas.openxmlformats.org/officeDocument/2006/relationships/hyperlink" Target="https://ieeexplore.ieee.org/document/9365987" TargetMode="External"/><Relationship Id="rId89" Type="http://schemas.openxmlformats.org/officeDocument/2006/relationships/hyperlink" Target="https://ieeexplore.ieee.org/document/9674742" TargetMode="External"/><Relationship Id="rId112" Type="http://schemas.openxmlformats.org/officeDocument/2006/relationships/hyperlink" Target="https://ieeexplore.ieee.org/document/9831176" TargetMode="External"/><Relationship Id="rId133" Type="http://schemas.openxmlformats.org/officeDocument/2006/relationships/hyperlink" Target="https://ieeexplore.ieee.org/document/10067451" TargetMode="External"/><Relationship Id="rId16" Type="http://schemas.openxmlformats.org/officeDocument/2006/relationships/hyperlink" Target="https://doi.org/10.1002/mop.28065" TargetMode="External"/><Relationship Id="rId37" Type="http://schemas.openxmlformats.org/officeDocument/2006/relationships/hyperlink" Target="https://ieeexplore.ieee.org/document/8436439" TargetMode="External"/><Relationship Id="rId58" Type="http://schemas.openxmlformats.org/officeDocument/2006/relationships/hyperlink" Target="https://ieeexplore.ieee.org/document/9218338" TargetMode="External"/><Relationship Id="rId79" Type="http://schemas.openxmlformats.org/officeDocument/2006/relationships/hyperlink" Target="https://ieeexplore.ieee.org/document/9426952" TargetMode="External"/><Relationship Id="rId102" Type="http://schemas.openxmlformats.org/officeDocument/2006/relationships/hyperlink" Target="https://ieeexplore.ieee.org/document/9731626" TargetMode="External"/><Relationship Id="rId123" Type="http://schemas.openxmlformats.org/officeDocument/2006/relationships/hyperlink" Target="https://ieeexplore.ieee.org/document/9976265" TargetMode="External"/><Relationship Id="rId144" Type="http://schemas.openxmlformats.org/officeDocument/2006/relationships/hyperlink" Target="https://ieeexplore.ieee.org/document/6464611" TargetMode="External"/><Relationship Id="rId90" Type="http://schemas.openxmlformats.org/officeDocument/2006/relationships/hyperlink" Target="https://ieeexplore.ieee.org/document/9684945"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CA3DD-FF1A-4319-A7D1-4BC6F2130770}">
  <dimension ref="A1:B59"/>
  <sheetViews>
    <sheetView tabSelected="1" zoomScale="85" zoomScaleNormal="85" zoomScaleSheetLayoutView="100" workbookViewId="0"/>
  </sheetViews>
  <sheetFormatPr baseColWidth="10" defaultColWidth="8.83203125" defaultRowHeight="15" x14ac:dyDescent="0.2"/>
  <cols>
    <col min="1" max="1" width="169.6640625" customWidth="1"/>
  </cols>
  <sheetData>
    <row r="1" spans="1:2" s="12" customFormat="1" ht="13" x14ac:dyDescent="0.15">
      <c r="A1" s="14" t="s">
        <v>191</v>
      </c>
    </row>
    <row r="2" spans="1:2" s="6" customFormat="1" ht="14" x14ac:dyDescent="0.15">
      <c r="A2" s="15" t="s">
        <v>180</v>
      </c>
    </row>
    <row r="3" spans="1:2" s="6" customFormat="1" ht="13" x14ac:dyDescent="0.15">
      <c r="A3" s="16" t="s">
        <v>181</v>
      </c>
    </row>
    <row r="4" spans="1:2" s="6" customFormat="1" ht="13" x14ac:dyDescent="0.15">
      <c r="B4" s="13"/>
    </row>
    <row r="5" spans="1:2" s="6" customFormat="1" ht="14" x14ac:dyDescent="0.15">
      <c r="A5" s="17" t="s">
        <v>392</v>
      </c>
    </row>
    <row r="6" spans="1:2" s="6" customFormat="1" ht="42" x14ac:dyDescent="0.15">
      <c r="A6" s="7" t="s">
        <v>410</v>
      </c>
    </row>
    <row r="7" spans="1:2" s="6" customFormat="1" ht="13" x14ac:dyDescent="0.15">
      <c r="A7" s="8"/>
    </row>
    <row r="8" spans="1:2" s="6" customFormat="1" ht="14" x14ac:dyDescent="0.15">
      <c r="A8" s="18" t="s">
        <v>182</v>
      </c>
    </row>
    <row r="9" spans="1:2" s="6" customFormat="1" ht="14" x14ac:dyDescent="0.15">
      <c r="A9" s="9" t="s">
        <v>192</v>
      </c>
    </row>
    <row r="10" spans="1:2" s="6" customFormat="1" ht="13" x14ac:dyDescent="0.15">
      <c r="A10" s="8"/>
    </row>
    <row r="11" spans="1:2" s="6" customFormat="1" ht="14" x14ac:dyDescent="0.15">
      <c r="A11" s="19" t="s">
        <v>183</v>
      </c>
    </row>
    <row r="12" spans="1:2" s="6" customFormat="1" ht="14" x14ac:dyDescent="0.15">
      <c r="A12" s="9" t="s">
        <v>184</v>
      </c>
    </row>
    <row r="13" spans="1:2" s="6" customFormat="1" ht="13" x14ac:dyDescent="0.15">
      <c r="A13" s="8"/>
    </row>
    <row r="14" spans="1:2" s="6" customFormat="1" ht="13" x14ac:dyDescent="0.15">
      <c r="A14" s="20" t="s">
        <v>185</v>
      </c>
    </row>
    <row r="15" spans="1:2" s="6" customFormat="1" ht="28" x14ac:dyDescent="0.15">
      <c r="A15" s="10" t="s">
        <v>193</v>
      </c>
    </row>
    <row r="16" spans="1:2" s="6" customFormat="1" ht="13" x14ac:dyDescent="0.15">
      <c r="A16" s="6" t="s">
        <v>194</v>
      </c>
    </row>
    <row r="17" spans="1:1" s="6" customFormat="1" ht="13" x14ac:dyDescent="0.15"/>
    <row r="18" spans="1:1" s="6" customFormat="1" ht="13" x14ac:dyDescent="0.15">
      <c r="A18" s="20" t="s">
        <v>186</v>
      </c>
    </row>
    <row r="19" spans="1:1" s="6" customFormat="1" ht="28" x14ac:dyDescent="0.15">
      <c r="A19" s="10" t="s">
        <v>195</v>
      </c>
    </row>
    <row r="20" spans="1:1" s="6" customFormat="1" ht="13" x14ac:dyDescent="0.15"/>
    <row r="21" spans="1:1" s="6" customFormat="1" ht="14" x14ac:dyDescent="0.15">
      <c r="A21" s="19" t="s">
        <v>187</v>
      </c>
    </row>
    <row r="22" spans="1:1" s="6" customFormat="1" ht="98" x14ac:dyDescent="0.15">
      <c r="A22" s="11" t="s">
        <v>411</v>
      </c>
    </row>
    <row r="23" spans="1:1" s="6" customFormat="1" ht="13" x14ac:dyDescent="0.15"/>
    <row r="24" spans="1:1" s="6" customFormat="1" ht="42" x14ac:dyDescent="0.15">
      <c r="A24" s="11" t="s">
        <v>412</v>
      </c>
    </row>
    <row r="25" spans="1:1" s="6" customFormat="1" ht="13" x14ac:dyDescent="0.15">
      <c r="A25" s="11"/>
    </row>
    <row r="26" spans="1:1" s="6" customFormat="1" ht="28" x14ac:dyDescent="0.15">
      <c r="A26" s="11" t="s">
        <v>413</v>
      </c>
    </row>
    <row r="27" spans="1:1" s="6" customFormat="1" ht="13" x14ac:dyDescent="0.15">
      <c r="A27" s="11"/>
    </row>
    <row r="28" spans="1:1" s="6" customFormat="1" ht="28" x14ac:dyDescent="0.15">
      <c r="A28" s="11" t="s">
        <v>414</v>
      </c>
    </row>
    <row r="29" spans="1:1" s="6" customFormat="1" ht="13" x14ac:dyDescent="0.15">
      <c r="A29" s="11"/>
    </row>
    <row r="30" spans="1:1" s="6" customFormat="1" ht="28" x14ac:dyDescent="0.15">
      <c r="A30" s="11" t="s">
        <v>415</v>
      </c>
    </row>
    <row r="31" spans="1:1" s="6" customFormat="1" ht="13" x14ac:dyDescent="0.15">
      <c r="A31" s="11"/>
    </row>
    <row r="32" spans="1:1" s="6" customFormat="1" ht="14" x14ac:dyDescent="0.15">
      <c r="A32" s="11" t="s">
        <v>393</v>
      </c>
    </row>
    <row r="33" spans="1:1" s="6" customFormat="1" ht="13" x14ac:dyDescent="0.15">
      <c r="A33" s="11"/>
    </row>
    <row r="34" spans="1:1" s="6" customFormat="1" ht="42" x14ac:dyDescent="0.15">
      <c r="A34" s="11" t="s">
        <v>416</v>
      </c>
    </row>
    <row r="35" spans="1:1" s="6" customFormat="1" ht="13" x14ac:dyDescent="0.15">
      <c r="A35" s="11"/>
    </row>
    <row r="36" spans="1:1" s="6" customFormat="1" ht="14" x14ac:dyDescent="0.15">
      <c r="A36" s="11" t="s">
        <v>394</v>
      </c>
    </row>
    <row r="37" spans="1:1" s="6" customFormat="1" ht="13" x14ac:dyDescent="0.15">
      <c r="A37" s="11"/>
    </row>
    <row r="38" spans="1:1" s="6" customFormat="1" ht="28" x14ac:dyDescent="0.15">
      <c r="A38" s="11" t="s">
        <v>417</v>
      </c>
    </row>
    <row r="39" spans="1:1" s="6" customFormat="1" ht="13" x14ac:dyDescent="0.15"/>
    <row r="40" spans="1:1" s="6" customFormat="1" ht="14" x14ac:dyDescent="0.15">
      <c r="A40" s="9" t="s">
        <v>188</v>
      </c>
    </row>
    <row r="41" spans="1:1" s="6" customFormat="1" ht="13" x14ac:dyDescent="0.15"/>
    <row r="42" spans="1:1" s="6" customFormat="1" ht="14" x14ac:dyDescent="0.15">
      <c r="A42" s="9" t="s">
        <v>189</v>
      </c>
    </row>
    <row r="43" spans="1:1" s="6" customFormat="1" ht="29.25" customHeight="1" x14ac:dyDescent="0.15"/>
    <row r="44" spans="1:1" s="6" customFormat="1" ht="36" customHeight="1" x14ac:dyDescent="0.15"/>
    <row r="45" spans="1:1" s="6" customFormat="1" ht="14" x14ac:dyDescent="0.15">
      <c r="A45" s="21" t="s">
        <v>190</v>
      </c>
    </row>
    <row r="46" spans="1:1" s="6" customFormat="1" ht="28" x14ac:dyDescent="0.15">
      <c r="A46" s="10" t="s">
        <v>196</v>
      </c>
    </row>
    <row r="47" spans="1:1" s="6" customFormat="1" ht="13" x14ac:dyDescent="0.15"/>
    <row r="48" spans="1:1" s="6" customFormat="1" ht="28" x14ac:dyDescent="0.15">
      <c r="A48" s="10" t="s">
        <v>395</v>
      </c>
    </row>
    <row r="49" spans="1:1" x14ac:dyDescent="0.2">
      <c r="A49" s="31" t="s">
        <v>396</v>
      </c>
    </row>
    <row r="50" spans="1:1" x14ac:dyDescent="0.2">
      <c r="A50" s="10" t="s">
        <v>397</v>
      </c>
    </row>
    <row r="51" spans="1:1" x14ac:dyDescent="0.2">
      <c r="A51" s="10" t="s">
        <v>398</v>
      </c>
    </row>
    <row r="53" spans="1:1" ht="43.5" customHeight="1" x14ac:dyDescent="0.2">
      <c r="A53" s="33" t="s">
        <v>423</v>
      </c>
    </row>
    <row r="54" spans="1:1" x14ac:dyDescent="0.2">
      <c r="A54" s="31" t="s">
        <v>399</v>
      </c>
    </row>
    <row r="55" spans="1:1" x14ac:dyDescent="0.2">
      <c r="A55" s="32" t="s">
        <v>422</v>
      </c>
    </row>
    <row r="56" spans="1:1" x14ac:dyDescent="0.2">
      <c r="A56" s="32" t="s">
        <v>421</v>
      </c>
    </row>
    <row r="57" spans="1:1" x14ac:dyDescent="0.2">
      <c r="A57" s="32" t="s">
        <v>418</v>
      </c>
    </row>
    <row r="58" spans="1:1" x14ac:dyDescent="0.2">
      <c r="A58" s="32" t="s">
        <v>419</v>
      </c>
    </row>
    <row r="59" spans="1:1" x14ac:dyDescent="0.2">
      <c r="A59" s="32" t="s">
        <v>420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52"/>
  <sheetViews>
    <sheetView topLeftCell="AD3" zoomScaleNormal="100" workbookViewId="0">
      <selection activeCell="AD19" sqref="AD19"/>
    </sheetView>
  </sheetViews>
  <sheetFormatPr baseColWidth="10" defaultColWidth="8.83203125" defaultRowHeight="15" x14ac:dyDescent="0.2"/>
  <cols>
    <col min="1" max="1" width="15.33203125" bestFit="1" customWidth="1"/>
    <col min="2" max="2" width="9.5" bestFit="1" customWidth="1"/>
    <col min="3" max="3" width="12.33203125" bestFit="1" customWidth="1"/>
    <col min="4" max="4" width="27" bestFit="1" customWidth="1"/>
    <col min="5" max="5" width="170.5" bestFit="1" customWidth="1"/>
    <col min="6" max="6" width="32.5" bestFit="1" customWidth="1"/>
    <col min="7" max="7" width="54.6640625" bestFit="1" customWidth="1"/>
    <col min="8" max="8" width="20.5" bestFit="1" customWidth="1"/>
    <col min="9" max="9" width="19.83203125" bestFit="1" customWidth="1"/>
    <col min="10" max="10" width="36.1640625" bestFit="1" customWidth="1"/>
    <col min="11" max="11" width="22.1640625" bestFit="1" customWidth="1"/>
    <col min="12" max="12" width="36.1640625" customWidth="1"/>
    <col min="13" max="14" width="31.1640625" bestFit="1" customWidth="1"/>
    <col min="15" max="15" width="22.1640625" bestFit="1" customWidth="1"/>
    <col min="16" max="16" width="35.6640625" bestFit="1" customWidth="1"/>
    <col min="17" max="18" width="35.6640625" customWidth="1"/>
    <col min="19" max="19" width="35.6640625" style="27" customWidth="1"/>
    <col min="20" max="21" width="35.6640625" customWidth="1"/>
    <col min="22" max="22" width="39.83203125" bestFit="1" customWidth="1"/>
    <col min="23" max="23" width="36.6640625" bestFit="1" customWidth="1"/>
    <col min="24" max="24" width="31.1640625" style="24" customWidth="1"/>
    <col min="25" max="25" width="17.33203125" bestFit="1" customWidth="1"/>
    <col min="26" max="26" width="27.83203125" bestFit="1" customWidth="1"/>
    <col min="27" max="27" width="24.5" bestFit="1" customWidth="1"/>
    <col min="28" max="28" width="17.83203125" bestFit="1" customWidth="1"/>
    <col min="29" max="29" width="30.1640625" bestFit="1" customWidth="1"/>
    <col min="30" max="31" width="24.5" bestFit="1" customWidth="1"/>
    <col min="32" max="32" width="34.33203125" bestFit="1" customWidth="1"/>
    <col min="33" max="33" width="34.1640625" bestFit="1" customWidth="1"/>
    <col min="34" max="34" width="28.5" bestFit="1" customWidth="1"/>
    <col min="35" max="35" width="38.5" bestFit="1" customWidth="1"/>
    <col min="36" max="36" width="20.6640625" bestFit="1" customWidth="1"/>
    <col min="37" max="37" width="21.1640625" bestFit="1" customWidth="1"/>
    <col min="38" max="38" width="19.5" bestFit="1" customWidth="1"/>
    <col min="39" max="39" width="37.1640625" bestFit="1" customWidth="1"/>
    <col min="40" max="41" width="36.6640625" customWidth="1"/>
    <col min="42" max="42" width="30.5" bestFit="1" customWidth="1"/>
    <col min="43" max="44" width="36.6640625" customWidth="1"/>
    <col min="45" max="45" width="24.5" bestFit="1" customWidth="1"/>
    <col min="46" max="46" width="26.5" bestFit="1" customWidth="1"/>
    <col min="47" max="47" width="34.6640625" bestFit="1" customWidth="1"/>
    <col min="48" max="48" width="30.5" bestFit="1" customWidth="1"/>
    <col min="49" max="49" width="16.5" bestFit="1" customWidth="1"/>
    <col min="50" max="50" width="143.33203125" bestFit="1" customWidth="1"/>
    <col min="51" max="51" width="20.6640625" bestFit="1" customWidth="1"/>
    <col min="52" max="52" width="22.33203125" bestFit="1" customWidth="1"/>
    <col min="53" max="53" width="21.6640625" bestFit="1" customWidth="1"/>
    <col min="54" max="54" width="28.33203125" bestFit="1" customWidth="1"/>
    <col min="55" max="55" width="31.83203125" bestFit="1" customWidth="1"/>
    <col min="56" max="56" width="23.83203125" bestFit="1" customWidth="1"/>
    <col min="57" max="57" width="20.83203125" bestFit="1" customWidth="1"/>
    <col min="58" max="58" width="28" bestFit="1" customWidth="1"/>
    <col min="59" max="59" width="15.5" bestFit="1" customWidth="1"/>
    <col min="60" max="60" width="28.1640625" bestFit="1" customWidth="1"/>
  </cols>
  <sheetData>
    <row r="1" spans="1:50" x14ac:dyDescent="0.2">
      <c r="A1" s="3" t="s">
        <v>0</v>
      </c>
      <c r="B1" s="3" t="s">
        <v>1</v>
      </c>
      <c r="C1" s="3" t="s">
        <v>2</v>
      </c>
      <c r="D1" s="3" t="s">
        <v>3</v>
      </c>
      <c r="E1" s="3" t="s">
        <v>4</v>
      </c>
      <c r="F1" s="3" t="s">
        <v>25</v>
      </c>
      <c r="G1" s="3" t="s">
        <v>5</v>
      </c>
      <c r="H1" s="3" t="s">
        <v>16</v>
      </c>
      <c r="I1" s="4" t="s">
        <v>12</v>
      </c>
      <c r="J1" s="4" t="s">
        <v>203</v>
      </c>
      <c r="K1" s="4" t="s">
        <v>6</v>
      </c>
      <c r="L1" s="4" t="s">
        <v>206</v>
      </c>
      <c r="M1" s="4" t="s">
        <v>207</v>
      </c>
      <c r="N1" s="4" t="s">
        <v>199</v>
      </c>
      <c r="O1" s="4" t="s">
        <v>204</v>
      </c>
      <c r="P1" s="4" t="s">
        <v>200</v>
      </c>
      <c r="Q1" s="4" t="s">
        <v>208</v>
      </c>
      <c r="R1" s="4" t="s">
        <v>225</v>
      </c>
      <c r="S1" s="26" t="s">
        <v>217</v>
      </c>
      <c r="T1" s="4" t="s">
        <v>211</v>
      </c>
      <c r="U1" s="4" t="s">
        <v>210</v>
      </c>
      <c r="V1" s="4" t="s">
        <v>302</v>
      </c>
      <c r="W1" s="4" t="s">
        <v>303</v>
      </c>
      <c r="X1" s="22" t="s">
        <v>221</v>
      </c>
      <c r="Y1" s="22" t="s">
        <v>202</v>
      </c>
      <c r="Z1" s="22" t="s">
        <v>220</v>
      </c>
      <c r="AA1" s="22" t="s">
        <v>201</v>
      </c>
      <c r="AB1" s="22" t="s">
        <v>205</v>
      </c>
      <c r="AC1" s="22" t="s">
        <v>306</v>
      </c>
      <c r="AD1" s="22" t="s">
        <v>216</v>
      </c>
      <c r="AE1" s="22" t="s">
        <v>215</v>
      </c>
      <c r="AF1" s="22" t="s">
        <v>297</v>
      </c>
      <c r="AG1" s="22" t="s">
        <v>298</v>
      </c>
      <c r="AH1" s="22" t="s">
        <v>229</v>
      </c>
      <c r="AI1" s="22" t="s">
        <v>219</v>
      </c>
      <c r="AJ1" s="22" t="s">
        <v>307</v>
      </c>
      <c r="AK1" s="22" t="s">
        <v>308</v>
      </c>
      <c r="AL1" s="22" t="s">
        <v>305</v>
      </c>
      <c r="AM1" s="22" t="s">
        <v>212</v>
      </c>
      <c r="AN1" s="22" t="s">
        <v>213</v>
      </c>
      <c r="AO1" s="22" t="s">
        <v>304</v>
      </c>
      <c r="AP1" s="5" t="s">
        <v>7</v>
      </c>
      <c r="AQ1" s="5" t="s">
        <v>36</v>
      </c>
      <c r="AR1" s="5" t="s">
        <v>8</v>
      </c>
      <c r="AS1" s="5" t="s">
        <v>9</v>
      </c>
      <c r="AT1" s="5" t="s">
        <v>10</v>
      </c>
      <c r="AU1" s="5" t="s">
        <v>11</v>
      </c>
      <c r="AV1" s="5" t="s">
        <v>209</v>
      </c>
      <c r="AW1" s="5" t="s">
        <v>214</v>
      </c>
      <c r="AX1" s="28" t="s">
        <v>232</v>
      </c>
    </row>
    <row r="2" spans="1:50" x14ac:dyDescent="0.2">
      <c r="A2" s="1" t="s">
        <v>68</v>
      </c>
      <c r="B2" s="1">
        <v>2010</v>
      </c>
      <c r="C2" s="1">
        <v>12</v>
      </c>
      <c r="D2" s="1" t="s">
        <v>82</v>
      </c>
      <c r="E2" s="29" t="s">
        <v>319</v>
      </c>
      <c r="F2" s="1" t="s">
        <v>41</v>
      </c>
      <c r="G2" s="1" t="s">
        <v>17</v>
      </c>
      <c r="H2" s="1">
        <v>130</v>
      </c>
      <c r="I2" s="1">
        <v>60</v>
      </c>
      <c r="J2" s="1">
        <f>L2+M2</f>
        <v>16</v>
      </c>
      <c r="K2" s="1">
        <v>2</v>
      </c>
      <c r="L2" s="1">
        <f t="shared" ref="L2:L33" si="0">AD2*AB2*Y2</f>
        <v>16</v>
      </c>
      <c r="M2" s="1">
        <f t="shared" ref="M2:M33" si="1">AE2*AB2*Y2</f>
        <v>0</v>
      </c>
      <c r="N2" s="1">
        <v>1</v>
      </c>
      <c r="O2" s="1"/>
      <c r="P2" s="1" t="s">
        <v>224</v>
      </c>
      <c r="Q2" s="1">
        <v>42</v>
      </c>
      <c r="R2" s="1">
        <f t="shared" ref="R2:R15" si="2">IF(Q2="","",Y2*AA2)</f>
        <v>16</v>
      </c>
      <c r="S2" s="25">
        <f t="shared" ref="S2:S9" si="3">IF(AQ2="","N/A",10*LOG10(10^(AQ2/10)*AD2*AB2*Y2))</f>
        <v>21.341199826559251</v>
      </c>
      <c r="T2" s="1">
        <v>3.8</v>
      </c>
      <c r="U2" s="1" t="str">
        <f>IF(AW2="","N/A",AW2*AE2*AB2*Y2/1000)</f>
        <v>N/A</v>
      </c>
      <c r="V2" s="1">
        <f>IF(OR(ISNUMBER(Table1[[#This Row],[TX Pdc (W)]]), ISNUMBER(Table1[[#This Row],[RX Pdc (W)]])),MAX(Table1[[#This Row],[TX Pdc (W)]],Table1[[#This Row],[RX Pdc (W)]])/Table1[[#This Row],[Array Aperture Size (cm2)]],"N/A")</f>
        <v>0.48469387755102045</v>
      </c>
      <c r="W2" s="1">
        <f>IF(OR(ISNUMBER(Table1[[#This Row],[TX Pdc (W)]]), ISNUMBER(Table1[[#This Row],[RX Pdc (W)]])),MAX(Table1[[#This Row],[TX Pdc (W)]],Table1[[#This Row],[RX Pdc (W)]])/(Table1[[#This Row],['# of Array Tile]]*Table1[[#This Row],['# of IC per Tile]])/(Table1[[#This Row],[Chip Size (mm2)]]*0.01),"N/A")</f>
        <v>8.6609686609686598</v>
      </c>
      <c r="X2" s="23"/>
      <c r="Y2" s="1">
        <v>1</v>
      </c>
      <c r="Z2" s="1" t="s">
        <v>226</v>
      </c>
      <c r="AA2" s="1">
        <v>16</v>
      </c>
      <c r="AB2" s="1">
        <v>1</v>
      </c>
      <c r="AC2" s="1" t="s">
        <v>27</v>
      </c>
      <c r="AD2" s="1">
        <v>16</v>
      </c>
      <c r="AE2" s="1"/>
      <c r="AF2" s="1">
        <v>2.8</v>
      </c>
      <c r="AG2" s="1">
        <v>2.8</v>
      </c>
      <c r="AH2" s="1">
        <f t="shared" ref="AH2:AH33" si="4">AF2*AG2</f>
        <v>7.839999999999999</v>
      </c>
      <c r="AI2" s="1">
        <f t="shared" ref="AI2:AI33" si="5">(AH2*100/(Y2*AA2))</f>
        <v>48.999999999999993</v>
      </c>
      <c r="AJ2" s="1">
        <v>6.5</v>
      </c>
      <c r="AK2" s="1">
        <v>6.75</v>
      </c>
      <c r="AL2" s="1">
        <f>Table1[[#This Row],[Chip Size -X (mm)]]*Table1[[#This Row],[Chip Size - Y (mm)]]</f>
        <v>43.875</v>
      </c>
      <c r="AM2" s="1">
        <f>2.07*2</f>
        <v>4.1399999999999997</v>
      </c>
      <c r="AN2" s="1">
        <v>5.83</v>
      </c>
      <c r="AO2" s="1">
        <f t="shared" ref="AO2:AO33" si="6">(AM2*AN2/(AD2+AE2)*MAX(AD2,AE2)*2)/MAX(AD2,AE2)</f>
        <v>3.0170249999999998</v>
      </c>
      <c r="AP2" s="2"/>
      <c r="AQ2" s="1">
        <v>9.3000000000000007</v>
      </c>
      <c r="AR2" s="1"/>
      <c r="AS2" s="1">
        <v>35</v>
      </c>
      <c r="AT2" s="1"/>
      <c r="AU2" s="1"/>
      <c r="AV2" s="1"/>
      <c r="AW2" s="1"/>
      <c r="AX2" s="1"/>
    </row>
    <row r="3" spans="1:50" x14ac:dyDescent="0.2">
      <c r="A3" s="1" t="s">
        <v>14</v>
      </c>
      <c r="B3" s="1">
        <v>2011</v>
      </c>
      <c r="C3" s="1">
        <v>2</v>
      </c>
      <c r="D3" s="1" t="s">
        <v>325</v>
      </c>
      <c r="E3" s="29" t="s">
        <v>326</v>
      </c>
      <c r="F3" s="1" t="s">
        <v>35</v>
      </c>
      <c r="G3" s="1" t="s">
        <v>20</v>
      </c>
      <c r="H3" s="1">
        <v>65</v>
      </c>
      <c r="I3" s="1">
        <v>60</v>
      </c>
      <c r="J3" s="1">
        <f>L3+M3</f>
        <v>36</v>
      </c>
      <c r="K3" s="1">
        <v>2</v>
      </c>
      <c r="L3" s="1">
        <f t="shared" si="0"/>
        <v>32</v>
      </c>
      <c r="M3" s="1">
        <f t="shared" si="1"/>
        <v>4</v>
      </c>
      <c r="N3" s="1">
        <v>1</v>
      </c>
      <c r="O3" s="1">
        <v>1</v>
      </c>
      <c r="P3" s="1" t="s">
        <v>224</v>
      </c>
      <c r="Q3" s="1">
        <v>28</v>
      </c>
      <c r="R3" s="1">
        <f t="shared" si="2"/>
        <v>36</v>
      </c>
      <c r="S3" s="25" t="str">
        <f t="shared" si="3"/>
        <v>N/A</v>
      </c>
      <c r="T3" s="1">
        <v>1.82</v>
      </c>
      <c r="U3" s="1" t="str">
        <f>IF(AW3="","N/A",AW3*AE3*AB3*Y3/1000)</f>
        <v>N/A</v>
      </c>
      <c r="V3" s="1" t="e">
        <f>IF(OR(ISNUMBER(Table1[[#This Row],[TX Pdc (W)]]), ISNUMBER(Table1[[#This Row],[RX Pdc (W)]])),MAX(Table1[[#This Row],[TX Pdc (W)]],Table1[[#This Row],[RX Pdc (W)]])/Table1[[#This Row],[Array Aperture Size (cm2)]],"N/A")</f>
        <v>#VALUE!</v>
      </c>
      <c r="W3" s="1">
        <f>IF(OR(ISNUMBER(Table1[[#This Row],[TX Pdc (W)]]), ISNUMBER(Table1[[#This Row],[RX Pdc (W)]])),MAX(Table1[[#This Row],[TX Pdc (W)]],Table1[[#This Row],[RX Pdc (W)]])/(Table1[[#This Row],['# of Array Tile]]*Table1[[#This Row],['# of IC per Tile]])/(Table1[[#This Row],[Chip Size (mm2)]]*0.01),"N/A")</f>
        <v>2.504334424966288</v>
      </c>
      <c r="X3" s="23"/>
      <c r="Y3" s="1">
        <v>1</v>
      </c>
      <c r="Z3" s="1" t="s">
        <v>226</v>
      </c>
      <c r="AA3" s="1">
        <v>36</v>
      </c>
      <c r="AB3" s="1">
        <v>1</v>
      </c>
      <c r="AC3" s="1" t="s">
        <v>310</v>
      </c>
      <c r="AD3" s="1">
        <v>32</v>
      </c>
      <c r="AE3" s="1">
        <v>4</v>
      </c>
      <c r="AF3" s="1" t="s">
        <v>27</v>
      </c>
      <c r="AG3" s="1" t="s">
        <v>27</v>
      </c>
      <c r="AH3" s="1" t="e">
        <f t="shared" si="4"/>
        <v>#VALUE!</v>
      </c>
      <c r="AI3" s="1" t="e">
        <f t="shared" si="5"/>
        <v>#VALUE!</v>
      </c>
      <c r="AJ3" s="1">
        <v>8.9499999999999993</v>
      </c>
      <c r="AK3" s="1">
        <v>8.1199999999999992</v>
      </c>
      <c r="AL3" s="1">
        <f>Table1[[#This Row],[Chip Size -X (mm)]]*Table1[[#This Row],[Chip Size - Y (mm)]]</f>
        <v>72.673999999999992</v>
      </c>
      <c r="AM3" s="1">
        <v>8.59</v>
      </c>
      <c r="AN3" s="1">
        <f>5+0.86</f>
        <v>5.86</v>
      </c>
      <c r="AO3" s="1">
        <f t="shared" si="6"/>
        <v>2.7965222222222224</v>
      </c>
      <c r="AP3" s="2"/>
      <c r="AQ3" s="1"/>
      <c r="AR3" s="1"/>
      <c r="AS3" s="1"/>
      <c r="AT3" s="1"/>
      <c r="AU3" s="1"/>
      <c r="AV3" s="1"/>
      <c r="AW3" s="1"/>
      <c r="AX3" s="1"/>
    </row>
    <row r="4" spans="1:50" x14ac:dyDescent="0.2">
      <c r="A4" s="1" t="s">
        <v>14</v>
      </c>
      <c r="B4" s="1">
        <v>2011</v>
      </c>
      <c r="C4" s="1">
        <v>2</v>
      </c>
      <c r="D4" s="1" t="s">
        <v>325</v>
      </c>
      <c r="E4" s="29" t="s">
        <v>326</v>
      </c>
      <c r="F4" s="1" t="s">
        <v>35</v>
      </c>
      <c r="G4" s="1" t="s">
        <v>20</v>
      </c>
      <c r="H4" s="1">
        <v>65</v>
      </c>
      <c r="I4" s="1">
        <v>60</v>
      </c>
      <c r="J4" s="1">
        <f>L4+M4</f>
        <v>40</v>
      </c>
      <c r="K4" s="1">
        <v>2</v>
      </c>
      <c r="L4" s="1">
        <f t="shared" si="0"/>
        <v>8</v>
      </c>
      <c r="M4" s="1">
        <f t="shared" si="1"/>
        <v>32</v>
      </c>
      <c r="N4" s="1">
        <v>1</v>
      </c>
      <c r="O4" s="1">
        <v>1</v>
      </c>
      <c r="P4" s="1" t="s">
        <v>224</v>
      </c>
      <c r="Q4" s="1"/>
      <c r="R4" s="1" t="str">
        <f t="shared" si="2"/>
        <v/>
      </c>
      <c r="S4" s="25" t="str">
        <f t="shared" si="3"/>
        <v>N/A</v>
      </c>
      <c r="T4" s="1" t="str">
        <f>IF(AV4="","N/A",AV4*AD4*AB4*Y4/1000)</f>
        <v>N/A</v>
      </c>
      <c r="U4" s="1">
        <v>1.25</v>
      </c>
      <c r="V4" s="1" t="e">
        <f>IF(OR(ISNUMBER(Table1[[#This Row],[TX Pdc (W)]]), ISNUMBER(Table1[[#This Row],[RX Pdc (W)]])),MAX(Table1[[#This Row],[TX Pdc (W)]],Table1[[#This Row],[RX Pdc (W)]])/Table1[[#This Row],[Array Aperture Size (cm2)]],"N/A")</f>
        <v>#VALUE!</v>
      </c>
      <c r="W4" s="1">
        <f>IF(OR(ISNUMBER(Table1[[#This Row],[TX Pdc (W)]]), ISNUMBER(Table1[[#This Row],[RX Pdc (W)]])),MAX(Table1[[#This Row],[TX Pdc (W)]],Table1[[#This Row],[RX Pdc (W)]])/(Table1[[#This Row],['# of Array Tile]]*Table1[[#This Row],['# of IC per Tile]])/(Table1[[#This Row],[Chip Size (mm2)]]*0.01),"N/A")</f>
        <v>1.6201111525859564</v>
      </c>
      <c r="X4" s="23"/>
      <c r="Y4" s="1">
        <v>1</v>
      </c>
      <c r="Z4" s="1" t="s">
        <v>226</v>
      </c>
      <c r="AA4" s="1">
        <v>40</v>
      </c>
      <c r="AB4" s="1">
        <v>1</v>
      </c>
      <c r="AC4" s="1" t="s">
        <v>310</v>
      </c>
      <c r="AD4" s="1">
        <v>8</v>
      </c>
      <c r="AE4" s="1">
        <v>32</v>
      </c>
      <c r="AF4" s="1" t="s">
        <v>27</v>
      </c>
      <c r="AG4" s="1" t="s">
        <v>27</v>
      </c>
      <c r="AH4" s="1" t="e">
        <f t="shared" si="4"/>
        <v>#VALUE!</v>
      </c>
      <c r="AI4" s="1" t="e">
        <f t="shared" si="5"/>
        <v>#VALUE!</v>
      </c>
      <c r="AJ4" s="1">
        <v>8.64</v>
      </c>
      <c r="AK4" s="1">
        <v>8.93</v>
      </c>
      <c r="AL4" s="1">
        <f>Table1[[#This Row],[Chip Size -X (mm)]]*Table1[[#This Row],[Chip Size - Y (mm)]]</f>
        <v>77.155200000000008</v>
      </c>
      <c r="AM4" s="1">
        <v>8.11</v>
      </c>
      <c r="AN4" s="1">
        <f>4.87+1.22</f>
        <v>6.09</v>
      </c>
      <c r="AO4" s="1">
        <f t="shared" si="6"/>
        <v>2.4694949999999998</v>
      </c>
      <c r="AP4" s="2"/>
      <c r="AQ4" s="1"/>
      <c r="AR4" s="1"/>
      <c r="AS4" s="1"/>
      <c r="AT4" s="1">
        <v>10</v>
      </c>
      <c r="AU4" s="1"/>
      <c r="AV4" s="1"/>
      <c r="AW4" s="1"/>
      <c r="AX4" s="1"/>
    </row>
    <row r="5" spans="1:50" x14ac:dyDescent="0.2">
      <c r="A5" s="1" t="s">
        <v>68</v>
      </c>
      <c r="B5" s="1">
        <v>2011</v>
      </c>
      <c r="C5" s="1">
        <v>5</v>
      </c>
      <c r="D5" s="1" t="s">
        <v>317</v>
      </c>
      <c r="E5" s="29" t="s">
        <v>318</v>
      </c>
      <c r="F5" s="1" t="s">
        <v>33</v>
      </c>
      <c r="G5" s="1" t="s">
        <v>17</v>
      </c>
      <c r="H5" s="1">
        <v>130</v>
      </c>
      <c r="I5" s="1">
        <v>60</v>
      </c>
      <c r="J5" s="1">
        <f>L5+M5</f>
        <v>16</v>
      </c>
      <c r="K5" s="1">
        <v>2</v>
      </c>
      <c r="L5" s="1">
        <f t="shared" si="0"/>
        <v>0</v>
      </c>
      <c r="M5" s="1">
        <f t="shared" si="1"/>
        <v>16</v>
      </c>
      <c r="N5" s="1"/>
      <c r="O5" s="1">
        <v>1</v>
      </c>
      <c r="P5" s="1" t="s">
        <v>224</v>
      </c>
      <c r="Q5" s="1"/>
      <c r="R5" s="1" t="str">
        <f t="shared" si="2"/>
        <v/>
      </c>
      <c r="S5" s="25" t="str">
        <f t="shared" si="3"/>
        <v>N/A</v>
      </c>
      <c r="T5" s="1" t="str">
        <f>IF(AV5="","N/A",AV5*AD5*AB5*Y5/1000)</f>
        <v>N/A</v>
      </c>
      <c r="U5" s="1">
        <v>1.8</v>
      </c>
      <c r="V5" s="1">
        <f>IF(OR(ISNUMBER(Table1[[#This Row],[TX Pdc (W)]]), ISNUMBER(Table1[[#This Row],[RX Pdc (W)]])),MAX(Table1[[#This Row],[TX Pdc (W)]],Table1[[#This Row],[RX Pdc (W)]])/Table1[[#This Row],[Array Aperture Size (cm2)]],"N/A")</f>
        <v>0.22959183673469391</v>
      </c>
      <c r="W5" s="1">
        <f>IF(OR(ISNUMBER(Table1[[#This Row],[TX Pdc (W)]]), ISNUMBER(Table1[[#This Row],[RX Pdc (W)]])),MAX(Table1[[#This Row],[TX Pdc (W)]],Table1[[#This Row],[RX Pdc (W)]])/(Table1[[#This Row],['# of Array Tile]]*Table1[[#This Row],['# of IC per Tile]])/(Table1[[#This Row],[Chip Size (mm2)]]*0.01),"N/A")</f>
        <v>4.7750424448217306</v>
      </c>
      <c r="X5" s="23"/>
      <c r="Y5" s="1">
        <v>1</v>
      </c>
      <c r="Z5" s="1" t="s">
        <v>226</v>
      </c>
      <c r="AA5" s="1">
        <v>16</v>
      </c>
      <c r="AB5" s="1">
        <v>1</v>
      </c>
      <c r="AC5" s="1" t="s">
        <v>27</v>
      </c>
      <c r="AD5" s="1"/>
      <c r="AE5" s="1">
        <v>16</v>
      </c>
      <c r="AF5" s="1">
        <v>2.8</v>
      </c>
      <c r="AG5" s="1">
        <v>2.8</v>
      </c>
      <c r="AH5" s="1">
        <f t="shared" si="4"/>
        <v>7.839999999999999</v>
      </c>
      <c r="AI5" s="1">
        <f t="shared" si="5"/>
        <v>48.999999999999993</v>
      </c>
      <c r="AJ5" s="1">
        <v>6.2</v>
      </c>
      <c r="AK5" s="1">
        <v>6.08</v>
      </c>
      <c r="AL5" s="1">
        <f>Table1[[#This Row],[Chip Size -X (mm)]]*Table1[[#This Row],[Chip Size - Y (mm)]]</f>
        <v>37.696000000000005</v>
      </c>
      <c r="AM5" s="1">
        <f>1.7*2</f>
        <v>3.4</v>
      </c>
      <c r="AN5" s="1">
        <f>0.65*8</f>
        <v>5.2</v>
      </c>
      <c r="AO5" s="1">
        <f t="shared" si="6"/>
        <v>2.21</v>
      </c>
      <c r="AP5" s="2"/>
      <c r="AQ5" s="1"/>
      <c r="AR5" s="1"/>
      <c r="AS5" s="1"/>
      <c r="AT5" s="1">
        <v>7.4</v>
      </c>
      <c r="AU5" s="1">
        <v>70</v>
      </c>
      <c r="AV5" s="1"/>
      <c r="AW5" s="1">
        <f>900/16</f>
        <v>56.25</v>
      </c>
      <c r="AX5" s="1"/>
    </row>
    <row r="6" spans="1:50" x14ac:dyDescent="0.2">
      <c r="A6" s="1" t="s">
        <v>31</v>
      </c>
      <c r="B6" s="1">
        <v>2012</v>
      </c>
      <c r="C6" s="1">
        <v>6</v>
      </c>
      <c r="D6" s="1" t="s">
        <v>72</v>
      </c>
      <c r="E6" s="29" t="s">
        <v>71</v>
      </c>
      <c r="F6" s="1" t="s">
        <v>41</v>
      </c>
      <c r="G6" s="1" t="s">
        <v>17</v>
      </c>
      <c r="H6" s="1">
        <v>130</v>
      </c>
      <c r="I6" s="1">
        <v>110</v>
      </c>
      <c r="J6" s="1">
        <f>L6+M6</f>
        <v>16</v>
      </c>
      <c r="K6" s="1">
        <v>2</v>
      </c>
      <c r="L6" s="1">
        <f t="shared" si="0"/>
        <v>16</v>
      </c>
      <c r="M6" s="1">
        <f t="shared" si="1"/>
        <v>0</v>
      </c>
      <c r="N6" s="1">
        <v>1</v>
      </c>
      <c r="O6" s="1"/>
      <c r="P6" s="1" t="s">
        <v>224</v>
      </c>
      <c r="Q6" s="1"/>
      <c r="R6" s="1" t="str">
        <f t="shared" si="2"/>
        <v/>
      </c>
      <c r="S6" s="25">
        <f t="shared" si="3"/>
        <v>12.041199826559248</v>
      </c>
      <c r="T6" s="1">
        <v>2.61</v>
      </c>
      <c r="U6" s="1" t="str">
        <f>IF(AW6="","N/A",AW6*AE6*AB6*Y6/1000)</f>
        <v>N/A</v>
      </c>
      <c r="V6" s="1">
        <f>IF(OR(ISNUMBER(Table1[[#This Row],[TX Pdc (W)]]), ISNUMBER(Table1[[#This Row],[RX Pdc (W)]])),MAX(Table1[[#This Row],[TX Pdc (W)]],Table1[[#This Row],[RX Pdc (W)]])/Table1[[#This Row],[Array Aperture Size (cm2)]],"N/A")</f>
        <v>11.143988010606002</v>
      </c>
      <c r="W6" s="1">
        <f>IF(OR(ISNUMBER(Table1[[#This Row],[TX Pdc (W)]]), ISNUMBER(Table1[[#This Row],[RX Pdc (W)]])),MAX(Table1[[#This Row],[TX Pdc (W)]],Table1[[#This Row],[RX Pdc (W)]])/(Table1[[#This Row],['# of Array Tile]]*Table1[[#This Row],['# of IC per Tile]])/(Table1[[#This Row],[Chip Size (mm2)]]*0.01),"N/A")</f>
        <v>6.8008598788352543</v>
      </c>
      <c r="X6" s="23"/>
      <c r="Y6" s="1">
        <v>1</v>
      </c>
      <c r="Z6" s="1" t="s">
        <v>228</v>
      </c>
      <c r="AA6" s="1">
        <v>16</v>
      </c>
      <c r="AB6" s="1">
        <v>1</v>
      </c>
      <c r="AC6" s="1" t="s">
        <v>27</v>
      </c>
      <c r="AD6" s="1">
        <v>16</v>
      </c>
      <c r="AE6" s="1"/>
      <c r="AF6" s="1">
        <v>0.49099999999999999</v>
      </c>
      <c r="AG6" s="1">
        <v>0.47699999999999998</v>
      </c>
      <c r="AH6" s="1">
        <f t="shared" si="4"/>
        <v>0.234207</v>
      </c>
      <c r="AI6" s="1">
        <f t="shared" si="5"/>
        <v>1.46379375</v>
      </c>
      <c r="AJ6" s="1">
        <v>6.45</v>
      </c>
      <c r="AK6" s="1">
        <v>5.95</v>
      </c>
      <c r="AL6" s="1">
        <f>Table1[[#This Row],[Chip Size -X (mm)]]*Table1[[#This Row],[Chip Size - Y (mm)]]</f>
        <v>38.377500000000005</v>
      </c>
      <c r="AM6" s="1">
        <v>5.98</v>
      </c>
      <c r="AN6" s="1">
        <v>5.42</v>
      </c>
      <c r="AO6" s="1">
        <f t="shared" si="6"/>
        <v>4.05145</v>
      </c>
      <c r="AP6" s="2"/>
      <c r="AQ6" s="1">
        <v>0</v>
      </c>
      <c r="AR6" s="1"/>
      <c r="AS6" s="1"/>
      <c r="AT6" s="1"/>
      <c r="AU6" s="1"/>
      <c r="AV6" s="1"/>
      <c r="AW6" s="1"/>
      <c r="AX6" s="1"/>
    </row>
    <row r="7" spans="1:50" x14ac:dyDescent="0.2">
      <c r="A7" s="1" t="s">
        <v>281</v>
      </c>
      <c r="B7" s="1">
        <v>2012</v>
      </c>
      <c r="C7" s="1">
        <v>11</v>
      </c>
      <c r="D7" s="1" t="s">
        <v>286</v>
      </c>
      <c r="E7" s="29" t="s">
        <v>285</v>
      </c>
      <c r="F7" s="1" t="s">
        <v>151</v>
      </c>
      <c r="G7" s="1"/>
      <c r="H7" s="1"/>
      <c r="I7" s="1">
        <v>24.4</v>
      </c>
      <c r="J7" s="1"/>
      <c r="K7" s="1">
        <v>2</v>
      </c>
      <c r="L7" s="1">
        <f t="shared" si="0"/>
        <v>0</v>
      </c>
      <c r="M7" s="1">
        <f t="shared" si="1"/>
        <v>0</v>
      </c>
      <c r="N7" s="1">
        <v>1</v>
      </c>
      <c r="O7" s="1">
        <v>1</v>
      </c>
      <c r="P7" s="1"/>
      <c r="Q7" s="1"/>
      <c r="R7" s="1" t="str">
        <f t="shared" si="2"/>
        <v/>
      </c>
      <c r="S7" s="25" t="str">
        <f t="shared" si="3"/>
        <v>N/A</v>
      </c>
      <c r="T7" s="1" t="str">
        <f>IF(AV7="","N/A",AV7*AD7*AB7*Y7/1000)</f>
        <v>N/A</v>
      </c>
      <c r="U7" s="1" t="str">
        <f>IF(AW7="","N/A",AW7*AE7*AB7*Y7/1000)</f>
        <v>N/A</v>
      </c>
      <c r="V7" s="1" t="str">
        <f>IF(OR(ISNUMBER(Table1[[#This Row],[TX Pdc (W)]]), ISNUMBER(Table1[[#This Row],[RX Pdc (W)]])),MAX(Table1[[#This Row],[TX Pdc (W)]],Table1[[#This Row],[RX Pdc (W)]])/Table1[[#This Row],[Array Aperture Size (cm2)]],"N/A")</f>
        <v>N/A</v>
      </c>
      <c r="W7" s="1" t="str">
        <f>IF(OR(ISNUMBER(Table1[[#This Row],[TX Pdc (W)]]), ISNUMBER(Table1[[#This Row],[RX Pdc (W)]])),MAX(Table1[[#This Row],[TX Pdc (W)]],Table1[[#This Row],[RX Pdc (W)]])/(Table1[[#This Row],['# of Array Tile]]*Table1[[#This Row],['# of IC per Tile]])/(Table1[[#This Row],[Chip Size (mm2)]]*0.01),"N/A")</f>
        <v>N/A</v>
      </c>
      <c r="X7" s="23"/>
      <c r="Y7" s="1">
        <v>1</v>
      </c>
      <c r="Z7" s="1"/>
      <c r="AA7" s="1">
        <v>109</v>
      </c>
      <c r="AB7" s="1"/>
      <c r="AC7" s="1" t="s">
        <v>27</v>
      </c>
      <c r="AD7" s="1"/>
      <c r="AE7" s="1"/>
      <c r="AF7" s="1">
        <f>SQRT(PI()*5^2)</f>
        <v>8.8622692545275807</v>
      </c>
      <c r="AG7" s="1">
        <f>SQRT(PI()*5^2)</f>
        <v>8.8622692545275807</v>
      </c>
      <c r="AH7" s="1">
        <f t="shared" si="4"/>
        <v>78.539816339744846</v>
      </c>
      <c r="AI7" s="1">
        <f t="shared" si="5"/>
        <v>72.05487737591271</v>
      </c>
      <c r="AJ7" s="1"/>
      <c r="AK7" s="1"/>
      <c r="AL7" s="1">
        <f>Table1[[#This Row],[Chip Size -X (mm)]]*Table1[[#This Row],[Chip Size - Y (mm)]]</f>
        <v>0</v>
      </c>
      <c r="AM7" s="1"/>
      <c r="AN7" s="1"/>
      <c r="AO7" s="1" t="e">
        <f t="shared" si="6"/>
        <v>#DIV/0!</v>
      </c>
      <c r="AP7" s="2"/>
      <c r="AQ7" s="1"/>
      <c r="AR7" s="1"/>
      <c r="AS7" s="1"/>
      <c r="AT7" s="1"/>
      <c r="AU7" s="1"/>
      <c r="AV7" s="1"/>
      <c r="AW7" s="1"/>
      <c r="AX7" s="1" t="s">
        <v>329</v>
      </c>
    </row>
    <row r="8" spans="1:50" x14ac:dyDescent="0.2">
      <c r="A8" s="1" t="s">
        <v>281</v>
      </c>
      <c r="B8" s="1">
        <v>2012</v>
      </c>
      <c r="C8" s="1">
        <v>11</v>
      </c>
      <c r="D8" s="1" t="s">
        <v>286</v>
      </c>
      <c r="E8" s="29" t="s">
        <v>285</v>
      </c>
      <c r="F8" s="1" t="s">
        <v>151</v>
      </c>
      <c r="G8" s="1"/>
      <c r="H8" s="1"/>
      <c r="I8" s="1">
        <v>35.5</v>
      </c>
      <c r="J8" s="1"/>
      <c r="K8" s="1">
        <v>2</v>
      </c>
      <c r="L8" s="1">
        <f t="shared" si="0"/>
        <v>0</v>
      </c>
      <c r="M8" s="1">
        <f t="shared" si="1"/>
        <v>0</v>
      </c>
      <c r="N8" s="1">
        <v>1</v>
      </c>
      <c r="O8" s="1">
        <v>1</v>
      </c>
      <c r="P8" s="1"/>
      <c r="Q8" s="1"/>
      <c r="R8" s="1" t="str">
        <f t="shared" si="2"/>
        <v/>
      </c>
      <c r="S8" s="25" t="str">
        <f t="shared" si="3"/>
        <v>N/A</v>
      </c>
      <c r="T8" s="1" t="str">
        <f>IF(AV8="","N/A",AV8*AD8*AB8*Y8/1000)</f>
        <v>N/A</v>
      </c>
      <c r="U8" s="1" t="str">
        <f>IF(AW8="","N/A",AW8*AE8*AB8*Y8/1000)</f>
        <v>N/A</v>
      </c>
      <c r="V8" s="1" t="str">
        <f>IF(OR(ISNUMBER(Table1[[#This Row],[TX Pdc (W)]]), ISNUMBER(Table1[[#This Row],[RX Pdc (W)]])),MAX(Table1[[#This Row],[TX Pdc (W)]],Table1[[#This Row],[RX Pdc (W)]])/Table1[[#This Row],[Array Aperture Size (cm2)]],"N/A")</f>
        <v>N/A</v>
      </c>
      <c r="W8" s="1" t="str">
        <f>IF(OR(ISNUMBER(Table1[[#This Row],[TX Pdc (W)]]), ISNUMBER(Table1[[#This Row],[RX Pdc (W)]])),MAX(Table1[[#This Row],[TX Pdc (W)]],Table1[[#This Row],[RX Pdc (W)]])/(Table1[[#This Row],['# of Array Tile]]*Table1[[#This Row],['# of IC per Tile]])/(Table1[[#This Row],[Chip Size (mm2)]]*0.01),"N/A")</f>
        <v>N/A</v>
      </c>
      <c r="X8" s="23"/>
      <c r="Y8" s="1">
        <v>1</v>
      </c>
      <c r="Z8" s="1"/>
      <c r="AA8" s="1">
        <v>124</v>
      </c>
      <c r="AB8" s="1"/>
      <c r="AC8" s="1" t="s">
        <v>27</v>
      </c>
      <c r="AD8" s="1"/>
      <c r="AE8" s="1"/>
      <c r="AF8" s="1">
        <f>SQRT(PI()*5^2)</f>
        <v>8.8622692545275807</v>
      </c>
      <c r="AG8" s="1">
        <f>SQRT(PI()*5^2)</f>
        <v>8.8622692545275807</v>
      </c>
      <c r="AH8" s="1">
        <f t="shared" si="4"/>
        <v>78.539816339744846</v>
      </c>
      <c r="AI8" s="1">
        <f t="shared" si="5"/>
        <v>63.338561564310361</v>
      </c>
      <c r="AJ8" s="1"/>
      <c r="AK8" s="1"/>
      <c r="AL8" s="1">
        <f>Table1[[#This Row],[Chip Size -X (mm)]]*Table1[[#This Row],[Chip Size - Y (mm)]]</f>
        <v>0</v>
      </c>
      <c r="AM8" s="1"/>
      <c r="AN8" s="1"/>
      <c r="AO8" s="1" t="e">
        <f t="shared" si="6"/>
        <v>#DIV/0!</v>
      </c>
      <c r="AP8" s="2"/>
      <c r="AQ8" s="1"/>
      <c r="AR8" s="1"/>
      <c r="AS8" s="1"/>
      <c r="AT8" s="1"/>
      <c r="AU8" s="1"/>
      <c r="AV8" s="1"/>
      <c r="AW8" s="1"/>
      <c r="AX8" s="1" t="s">
        <v>329</v>
      </c>
    </row>
    <row r="9" spans="1:50" x14ac:dyDescent="0.2">
      <c r="A9" s="1" t="s">
        <v>281</v>
      </c>
      <c r="B9" s="1">
        <v>2012</v>
      </c>
      <c r="C9" s="1">
        <v>12</v>
      </c>
      <c r="D9" s="1" t="s">
        <v>288</v>
      </c>
      <c r="E9" s="29" t="s">
        <v>287</v>
      </c>
      <c r="F9" s="1" t="s">
        <v>151</v>
      </c>
      <c r="G9" s="1"/>
      <c r="H9" s="1"/>
      <c r="I9" s="1">
        <v>10.1</v>
      </c>
      <c r="J9" s="1"/>
      <c r="K9" s="1">
        <v>2</v>
      </c>
      <c r="L9" s="1">
        <f t="shared" si="0"/>
        <v>0</v>
      </c>
      <c r="M9" s="1">
        <f t="shared" si="1"/>
        <v>0</v>
      </c>
      <c r="N9" s="1">
        <v>1</v>
      </c>
      <c r="O9" s="1">
        <v>1</v>
      </c>
      <c r="P9" s="1"/>
      <c r="Q9" s="1"/>
      <c r="R9" s="1" t="str">
        <f t="shared" si="2"/>
        <v/>
      </c>
      <c r="S9" s="25" t="str">
        <f t="shared" si="3"/>
        <v>N/A</v>
      </c>
      <c r="T9" s="1" t="str">
        <f>IF(AV9="","N/A",AV9*AD9*AB9*Y9/1000)</f>
        <v>N/A</v>
      </c>
      <c r="U9" s="1" t="str">
        <f>IF(AW9="","N/A",AW9*AE9*AB9*Y9/1000)</f>
        <v>N/A</v>
      </c>
      <c r="V9" s="1" t="str">
        <f>IF(OR(ISNUMBER(Table1[[#This Row],[TX Pdc (W)]]), ISNUMBER(Table1[[#This Row],[RX Pdc (W)]])),MAX(Table1[[#This Row],[TX Pdc (W)]],Table1[[#This Row],[RX Pdc (W)]])/Table1[[#This Row],[Array Aperture Size (cm2)]],"N/A")</f>
        <v>N/A</v>
      </c>
      <c r="W9" s="1" t="str">
        <f>IF(OR(ISNUMBER(Table1[[#This Row],[TX Pdc (W)]]), ISNUMBER(Table1[[#This Row],[RX Pdc (W)]])),MAX(Table1[[#This Row],[TX Pdc (W)]],Table1[[#This Row],[RX Pdc (W)]])/(Table1[[#This Row],['# of Array Tile]]*Table1[[#This Row],['# of IC per Tile]])/(Table1[[#This Row],[Chip Size (mm2)]]*0.01),"N/A")</f>
        <v>N/A</v>
      </c>
      <c r="X9" s="23"/>
      <c r="Y9" s="1">
        <v>1</v>
      </c>
      <c r="Z9" s="1"/>
      <c r="AA9" s="1">
        <v>244</v>
      </c>
      <c r="AB9" s="1"/>
      <c r="AC9" s="1" t="s">
        <v>27</v>
      </c>
      <c r="AD9" s="1"/>
      <c r="AE9" s="1"/>
      <c r="AF9" s="1">
        <f>SQRT(PI()*(32.4/2)^2)</f>
        <v>28.713752384669359</v>
      </c>
      <c r="AG9" s="1">
        <f>SQRT(PI()*(32.4/2)^2)</f>
        <v>28.713752384669359</v>
      </c>
      <c r="AH9" s="1">
        <f t="shared" si="4"/>
        <v>824.47957600810525</v>
      </c>
      <c r="AI9" s="1">
        <f t="shared" si="5"/>
        <v>337.90146557709232</v>
      </c>
      <c r="AJ9" s="1"/>
      <c r="AK9" s="1"/>
      <c r="AL9" s="1">
        <f>Table1[[#This Row],[Chip Size -X (mm)]]*Table1[[#This Row],[Chip Size - Y (mm)]]</f>
        <v>0</v>
      </c>
      <c r="AM9" s="1"/>
      <c r="AN9" s="1"/>
      <c r="AO9" s="1" t="e">
        <f t="shared" si="6"/>
        <v>#DIV/0!</v>
      </c>
      <c r="AP9" s="2"/>
      <c r="AQ9" s="1"/>
      <c r="AR9" s="1"/>
      <c r="AS9" s="1">
        <v>25.6</v>
      </c>
      <c r="AT9" s="1"/>
      <c r="AU9" s="1"/>
      <c r="AV9" s="1"/>
      <c r="AW9" s="1"/>
      <c r="AX9" s="1" t="s">
        <v>279</v>
      </c>
    </row>
    <row r="10" spans="1:50" x14ac:dyDescent="0.2">
      <c r="A10" s="1" t="s">
        <v>49</v>
      </c>
      <c r="B10" s="1">
        <v>2013</v>
      </c>
      <c r="C10" s="1">
        <v>3</v>
      </c>
      <c r="D10" s="1" t="s">
        <v>323</v>
      </c>
      <c r="E10" s="29" t="s">
        <v>324</v>
      </c>
      <c r="F10" s="1" t="s">
        <v>35</v>
      </c>
      <c r="G10" s="1" t="s">
        <v>20</v>
      </c>
      <c r="H10" s="1"/>
      <c r="I10" s="1">
        <v>60</v>
      </c>
      <c r="J10" s="1">
        <f>L10+M10</f>
        <v>64</v>
      </c>
      <c r="K10" s="1">
        <v>2</v>
      </c>
      <c r="L10" s="1">
        <f t="shared" si="0"/>
        <v>32</v>
      </c>
      <c r="M10" s="1">
        <f t="shared" si="1"/>
        <v>32</v>
      </c>
      <c r="N10" s="1">
        <v>1</v>
      </c>
      <c r="O10" s="1">
        <v>1</v>
      </c>
      <c r="P10" s="1" t="s">
        <v>224</v>
      </c>
      <c r="Q10" s="1">
        <v>32</v>
      </c>
      <c r="R10" s="1">
        <f t="shared" si="2"/>
        <v>32</v>
      </c>
      <c r="S10" s="25">
        <v>15</v>
      </c>
      <c r="T10" s="1">
        <v>1.2</v>
      </c>
      <c r="U10" s="1">
        <v>0.85</v>
      </c>
      <c r="V10" s="1">
        <f>IF(OR(ISNUMBER(Table1[[#This Row],[TX Pdc (W)]]), ISNUMBER(Table1[[#This Row],[RX Pdc (W)]])),MAX(Table1[[#This Row],[TX Pdc (W)]],Table1[[#This Row],[RX Pdc (W)]])/Table1[[#This Row],[Array Aperture Size (cm2)]],"N/A")</f>
        <v>0.192</v>
      </c>
      <c r="W10" s="1">
        <f>IF(OR(ISNUMBER(Table1[[#This Row],[TX Pdc (W)]]), ISNUMBER(Table1[[#This Row],[RX Pdc (W)]])),MAX(Table1[[#This Row],[TX Pdc (W)]],Table1[[#This Row],[RX Pdc (W)]])/(Table1[[#This Row],['# of Array Tile]]*Table1[[#This Row],['# of IC per Tile]])/(Table1[[#This Row],[Chip Size (mm2)]]*0.01),"N/A")</f>
        <v>4.1958041958041949</v>
      </c>
      <c r="X10" s="23"/>
      <c r="Y10" s="1">
        <v>1</v>
      </c>
      <c r="Z10" s="1" t="s">
        <v>226</v>
      </c>
      <c r="AA10" s="1">
        <v>32</v>
      </c>
      <c r="AB10" s="1">
        <v>1</v>
      </c>
      <c r="AC10" s="1" t="s">
        <v>309</v>
      </c>
      <c r="AD10" s="1">
        <v>32</v>
      </c>
      <c r="AE10" s="1">
        <v>32</v>
      </c>
      <c r="AF10" s="1">
        <v>2.5</v>
      </c>
      <c r="AG10" s="1">
        <v>2.5</v>
      </c>
      <c r="AH10" s="1">
        <f t="shared" si="4"/>
        <v>6.25</v>
      </c>
      <c r="AI10" s="1">
        <f t="shared" si="5"/>
        <v>19.53125</v>
      </c>
      <c r="AJ10" s="1">
        <v>5.5</v>
      </c>
      <c r="AK10" s="1">
        <v>5.2</v>
      </c>
      <c r="AL10" s="1">
        <f>Table1[[#This Row],[Chip Size -X (mm)]]*Table1[[#This Row],[Chip Size - Y (mm)]]</f>
        <v>28.6</v>
      </c>
      <c r="AM10" s="1">
        <f>2.5*2</f>
        <v>5</v>
      </c>
      <c r="AN10" s="1">
        <f>1.96*2</f>
        <v>3.92</v>
      </c>
      <c r="AO10" s="1">
        <f t="shared" si="6"/>
        <v>0.61250000000000004</v>
      </c>
      <c r="AP10" s="2"/>
      <c r="AQ10" s="1">
        <v>3.5</v>
      </c>
      <c r="AR10" s="1"/>
      <c r="AS10" s="1">
        <v>10</v>
      </c>
      <c r="AT10" s="1">
        <v>7.5</v>
      </c>
      <c r="AU10" s="1">
        <v>11</v>
      </c>
      <c r="AV10" s="1"/>
      <c r="AW10" s="1"/>
      <c r="AX10" s="1"/>
    </row>
    <row r="11" spans="1:50" x14ac:dyDescent="0.2">
      <c r="A11" s="1" t="s">
        <v>31</v>
      </c>
      <c r="B11" s="1">
        <v>2013</v>
      </c>
      <c r="C11" s="1">
        <v>6</v>
      </c>
      <c r="D11" s="1" t="s">
        <v>82</v>
      </c>
      <c r="E11" s="29" t="s">
        <v>81</v>
      </c>
      <c r="F11" s="1" t="s">
        <v>35</v>
      </c>
      <c r="G11" s="1" t="s">
        <v>17</v>
      </c>
      <c r="H11" s="1">
        <v>130</v>
      </c>
      <c r="I11" s="1">
        <v>92</v>
      </c>
      <c r="J11" s="1">
        <f>L11+M11</f>
        <v>128</v>
      </c>
      <c r="K11" s="1">
        <v>2</v>
      </c>
      <c r="L11" s="1">
        <f t="shared" si="0"/>
        <v>64</v>
      </c>
      <c r="M11" s="1">
        <f t="shared" si="1"/>
        <v>64</v>
      </c>
      <c r="N11" s="1">
        <v>2</v>
      </c>
      <c r="O11" s="1">
        <v>2</v>
      </c>
      <c r="P11" s="1" t="s">
        <v>224</v>
      </c>
      <c r="Q11" s="1"/>
      <c r="R11" s="1" t="str">
        <f t="shared" si="2"/>
        <v/>
      </c>
      <c r="S11" s="25">
        <f>IF(AQ11="","N/A",10*LOG10(10^(AQ11/10)*AD11*AB11*Y11))</f>
        <v>20.561799739838872</v>
      </c>
      <c r="T11" s="1">
        <v>2.9</v>
      </c>
      <c r="U11" s="1">
        <v>3.4</v>
      </c>
      <c r="V11" s="1">
        <f>IF(OR(ISNUMBER(Table1[[#This Row],[TX Pdc (W)]]), ISNUMBER(Table1[[#This Row],[RX Pdc (W)]])),MAX(Table1[[#This Row],[TX Pdc (W)]],Table1[[#This Row],[RX Pdc (W)]])/Table1[[#This Row],[Array Aperture Size (cm2)]],"N/A")</f>
        <v>2.1760000000000002</v>
      </c>
      <c r="W11" s="1">
        <f>IF(OR(ISNUMBER(Table1[[#This Row],[TX Pdc (W)]]), ISNUMBER(Table1[[#This Row],[RX Pdc (W)]])),MAX(Table1[[#This Row],[TX Pdc (W)]],Table1[[#This Row],[RX Pdc (W)]])/(Table1[[#This Row],['# of Array Tile]]*Table1[[#This Row],['# of IC per Tile]])/(Table1[[#This Row],[Chip Size (mm2)]]*0.01),"N/A")</f>
        <v>1.9222071460877432</v>
      </c>
      <c r="X11" s="23"/>
      <c r="Y11" s="1">
        <v>1</v>
      </c>
      <c r="Z11" s="1"/>
      <c r="AA11" s="1">
        <v>64</v>
      </c>
      <c r="AB11" s="1">
        <v>4</v>
      </c>
      <c r="AC11" s="1" t="s">
        <v>309</v>
      </c>
      <c r="AD11" s="1">
        <v>16</v>
      </c>
      <c r="AE11" s="1">
        <v>16</v>
      </c>
      <c r="AF11" s="1">
        <v>1.25</v>
      </c>
      <c r="AG11" s="1">
        <v>1.25</v>
      </c>
      <c r="AH11" s="1">
        <f t="shared" si="4"/>
        <v>1.5625</v>
      </c>
      <c r="AI11" s="1">
        <f t="shared" si="5"/>
        <v>2.44140625</v>
      </c>
      <c r="AJ11" s="1">
        <v>6.6</v>
      </c>
      <c r="AK11" s="1">
        <v>6.7</v>
      </c>
      <c r="AL11" s="1">
        <f>Table1[[#This Row],[Chip Size -X (mm)]]*Table1[[#This Row],[Chip Size - Y (mm)]]</f>
        <v>44.22</v>
      </c>
      <c r="AM11" s="1">
        <v>6.41</v>
      </c>
      <c r="AN11" s="1">
        <v>6.14</v>
      </c>
      <c r="AO11" s="1">
        <f t="shared" si="6"/>
        <v>2.4598374999999999</v>
      </c>
      <c r="AP11" s="2"/>
      <c r="AQ11" s="1">
        <v>2.5</v>
      </c>
      <c r="AR11" s="1"/>
      <c r="AS11" s="1">
        <v>23</v>
      </c>
      <c r="AT11" s="1">
        <v>8.1999999999999993</v>
      </c>
      <c r="AU11" s="1">
        <v>43</v>
      </c>
      <c r="AV11" s="1"/>
      <c r="AW11" s="1"/>
      <c r="AX11" s="1"/>
    </row>
    <row r="12" spans="1:50" x14ac:dyDescent="0.2">
      <c r="A12" s="1" t="s">
        <v>49</v>
      </c>
      <c r="B12" s="1">
        <v>2013</v>
      </c>
      <c r="C12" s="1">
        <v>7</v>
      </c>
      <c r="D12" s="1" t="s">
        <v>76</v>
      </c>
      <c r="E12" s="29" t="s">
        <v>75</v>
      </c>
      <c r="F12" s="1" t="s">
        <v>77</v>
      </c>
      <c r="G12" s="1" t="s">
        <v>17</v>
      </c>
      <c r="H12" s="1">
        <v>130</v>
      </c>
      <c r="I12" s="1">
        <v>97</v>
      </c>
      <c r="J12" s="1">
        <f>L12+M12</f>
        <v>32</v>
      </c>
      <c r="K12" s="1">
        <v>2</v>
      </c>
      <c r="L12" s="1">
        <f t="shared" si="0"/>
        <v>16</v>
      </c>
      <c r="M12" s="1">
        <f t="shared" si="1"/>
        <v>16</v>
      </c>
      <c r="N12" s="1">
        <v>1</v>
      </c>
      <c r="O12" s="1">
        <v>2</v>
      </c>
      <c r="P12" s="1" t="s">
        <v>222</v>
      </c>
      <c r="Q12" s="1"/>
      <c r="R12" s="1" t="str">
        <f t="shared" si="2"/>
        <v/>
      </c>
      <c r="S12" s="25">
        <f>IF(AQ12="","N/A",10*LOG10(10^(AQ12/10)*AD12*AB12*Y12))</f>
        <v>7.0411998265592484</v>
      </c>
      <c r="T12" s="1">
        <v>2.2000000000000002</v>
      </c>
      <c r="U12" s="1">
        <v>2.2000000000000002</v>
      </c>
      <c r="V12" s="1" t="e">
        <f>IF(OR(ISNUMBER(Table1[[#This Row],[TX Pdc (W)]]), ISNUMBER(Table1[[#This Row],[RX Pdc (W)]])),MAX(Table1[[#This Row],[TX Pdc (W)]],Table1[[#This Row],[RX Pdc (W)]])/Table1[[#This Row],[Array Aperture Size (cm2)]],"N/A")</f>
        <v>#VALUE!</v>
      </c>
      <c r="W12" s="1">
        <f>IF(OR(ISNUMBER(Table1[[#This Row],[TX Pdc (W)]]), ISNUMBER(Table1[[#This Row],[RX Pdc (W)]])),MAX(Table1[[#This Row],[TX Pdc (W)]],Table1[[#This Row],[RX Pdc (W)]])/(Table1[[#This Row],['# of Array Tile]]*Table1[[#This Row],['# of IC per Tile]])/(Table1[[#This Row],[Chip Size (mm2)]]*0.01),"N/A")</f>
        <v>5.649717514124295</v>
      </c>
      <c r="X12" s="23"/>
      <c r="Y12" s="1">
        <v>1</v>
      </c>
      <c r="Z12" s="1" t="s">
        <v>27</v>
      </c>
      <c r="AA12" s="1" t="s">
        <v>27</v>
      </c>
      <c r="AB12" s="1">
        <v>1</v>
      </c>
      <c r="AC12" s="1" t="s">
        <v>309</v>
      </c>
      <c r="AD12" s="1">
        <v>16</v>
      </c>
      <c r="AE12" s="1">
        <v>16</v>
      </c>
      <c r="AF12" s="1" t="s">
        <v>27</v>
      </c>
      <c r="AG12" s="1" t="s">
        <v>27</v>
      </c>
      <c r="AH12" s="1" t="e">
        <f t="shared" si="4"/>
        <v>#VALUE!</v>
      </c>
      <c r="AI12" s="1" t="e">
        <f t="shared" si="5"/>
        <v>#VALUE!</v>
      </c>
      <c r="AJ12" s="1">
        <v>6.6</v>
      </c>
      <c r="AK12" s="1">
        <v>5.9</v>
      </c>
      <c r="AL12" s="1">
        <f>Table1[[#This Row],[Chip Size -X (mm)]]*Table1[[#This Row],[Chip Size - Y (mm)]]</f>
        <v>38.94</v>
      </c>
      <c r="AM12" s="1">
        <v>6.26</v>
      </c>
      <c r="AN12" s="1">
        <v>5.52</v>
      </c>
      <c r="AO12" s="1">
        <f t="shared" si="6"/>
        <v>2.1597</v>
      </c>
      <c r="AP12" s="2"/>
      <c r="AQ12" s="1">
        <v>-5</v>
      </c>
      <c r="AR12" s="1"/>
      <c r="AS12" s="1">
        <v>13</v>
      </c>
      <c r="AT12" s="1">
        <v>10</v>
      </c>
      <c r="AU12" s="1">
        <v>25</v>
      </c>
      <c r="AV12" s="1"/>
      <c r="AW12" s="1"/>
      <c r="AX12" s="1"/>
    </row>
    <row r="13" spans="1:50" x14ac:dyDescent="0.2">
      <c r="A13" s="1" t="s">
        <v>274</v>
      </c>
      <c r="B13" s="1">
        <v>2014</v>
      </c>
      <c r="C13" s="1">
        <v>2</v>
      </c>
      <c r="D13" s="1" t="s">
        <v>90</v>
      </c>
      <c r="E13" s="29" t="s">
        <v>273</v>
      </c>
      <c r="F13" s="1" t="s">
        <v>151</v>
      </c>
      <c r="G13" s="1"/>
      <c r="H13" s="1"/>
      <c r="I13" s="1">
        <v>32</v>
      </c>
      <c r="J13" s="1"/>
      <c r="K13" s="1">
        <v>2</v>
      </c>
      <c r="L13" s="1">
        <f t="shared" si="0"/>
        <v>0</v>
      </c>
      <c r="M13" s="1">
        <f t="shared" si="1"/>
        <v>0</v>
      </c>
      <c r="N13" s="1">
        <v>2</v>
      </c>
      <c r="O13" s="1">
        <v>2</v>
      </c>
      <c r="P13" s="1" t="s">
        <v>223</v>
      </c>
      <c r="Q13" s="1"/>
      <c r="R13" s="1" t="str">
        <f t="shared" si="2"/>
        <v/>
      </c>
      <c r="S13" s="25" t="str">
        <f>IF(AQ13="","N/A",10*LOG10(10^(AQ13/10)*AD13*AB13*Y13))</f>
        <v>N/A</v>
      </c>
      <c r="T13" s="1" t="str">
        <f>IF(AV13="","N/A",AV13*AD13*AB13*Y13/1000)</f>
        <v>N/A</v>
      </c>
      <c r="U13" s="1" t="str">
        <f>IF(AW13="","N/A",AW13*AE13*AB13*Y13/1000)</f>
        <v>N/A</v>
      </c>
      <c r="V13" s="1" t="str">
        <f>IF(OR(ISNUMBER(Table1[[#This Row],[TX Pdc (W)]]), ISNUMBER(Table1[[#This Row],[RX Pdc (W)]])),MAX(Table1[[#This Row],[TX Pdc (W)]],Table1[[#This Row],[RX Pdc (W)]])/Table1[[#This Row],[Array Aperture Size (cm2)]],"N/A")</f>
        <v>N/A</v>
      </c>
      <c r="W13" s="1" t="str">
        <f>IF(OR(ISNUMBER(Table1[[#This Row],[TX Pdc (W)]]), ISNUMBER(Table1[[#This Row],[RX Pdc (W)]])),MAX(Table1[[#This Row],[TX Pdc (W)]],Table1[[#This Row],[RX Pdc (W)]])/(Table1[[#This Row],['# of Array Tile]]*Table1[[#This Row],['# of IC per Tile]])/(Table1[[#This Row],[Chip Size (mm2)]]*0.01),"N/A")</f>
        <v>N/A</v>
      </c>
      <c r="X13" s="23"/>
      <c r="Y13" s="1">
        <v>1</v>
      </c>
      <c r="Z13" s="1" t="s">
        <v>223</v>
      </c>
      <c r="AA13" s="1">
        <v>1600</v>
      </c>
      <c r="AB13" s="1"/>
      <c r="AC13" s="1" t="s">
        <v>27</v>
      </c>
      <c r="AD13" s="1"/>
      <c r="AE13" s="1"/>
      <c r="AF13" s="1">
        <v>20</v>
      </c>
      <c r="AG13" s="1">
        <v>20</v>
      </c>
      <c r="AH13" s="1">
        <f t="shared" si="4"/>
        <v>400</v>
      </c>
      <c r="AI13" s="1">
        <f t="shared" si="5"/>
        <v>25</v>
      </c>
      <c r="AJ13" s="1"/>
      <c r="AK13" s="1"/>
      <c r="AL13" s="1">
        <f>Table1[[#This Row],[Chip Size -X (mm)]]*Table1[[#This Row],[Chip Size - Y (mm)]]</f>
        <v>0</v>
      </c>
      <c r="AM13" s="1"/>
      <c r="AN13" s="1"/>
      <c r="AO13" s="1" t="e">
        <f t="shared" si="6"/>
        <v>#DIV/0!</v>
      </c>
      <c r="AP13" s="2"/>
      <c r="AQ13" s="1"/>
      <c r="AR13" s="1">
        <v>48.6</v>
      </c>
      <c r="AS13" s="1">
        <v>34.299999999999997</v>
      </c>
      <c r="AT13" s="1"/>
      <c r="AU13" s="1"/>
      <c r="AV13" s="1"/>
      <c r="AW13" s="1"/>
      <c r="AX13" s="1" t="s">
        <v>275</v>
      </c>
    </row>
    <row r="14" spans="1:50" x14ac:dyDescent="0.2">
      <c r="A14" s="1" t="s">
        <v>14</v>
      </c>
      <c r="B14" s="1">
        <v>2014</v>
      </c>
      <c r="C14" s="1">
        <v>2</v>
      </c>
      <c r="D14" s="1" t="s">
        <v>315</v>
      </c>
      <c r="E14" s="29" t="s">
        <v>316</v>
      </c>
      <c r="F14" s="1" t="s">
        <v>26</v>
      </c>
      <c r="G14" s="1" t="s">
        <v>20</v>
      </c>
      <c r="H14" s="1">
        <v>65</v>
      </c>
      <c r="I14" s="1">
        <v>338</v>
      </c>
      <c r="J14" s="1">
        <f t="shared" ref="J14:J33" si="7">L14+M14</f>
        <v>16</v>
      </c>
      <c r="K14" s="1">
        <v>2</v>
      </c>
      <c r="L14" s="1">
        <f t="shared" si="0"/>
        <v>16</v>
      </c>
      <c r="M14" s="1">
        <f t="shared" si="1"/>
        <v>0</v>
      </c>
      <c r="N14" s="1">
        <v>1</v>
      </c>
      <c r="O14" s="1">
        <v>1</v>
      </c>
      <c r="P14" s="1" t="s">
        <v>218</v>
      </c>
      <c r="Q14" s="1">
        <v>17.100000000000001</v>
      </c>
      <c r="R14" s="1">
        <f t="shared" si="2"/>
        <v>16</v>
      </c>
      <c r="S14" s="25">
        <v>-0.9</v>
      </c>
      <c r="T14" s="1">
        <v>1.54</v>
      </c>
      <c r="U14" s="1" t="str">
        <f>IF(AW14="","N/A",AW14*AE14*AB14*Y14/1000)</f>
        <v>N/A</v>
      </c>
      <c r="V14" s="1" t="e">
        <f>IF(OR(ISNUMBER(Table1[[#This Row],[TX Pdc (W)]]), ISNUMBER(Table1[[#This Row],[RX Pdc (W)]])),MAX(Table1[[#This Row],[TX Pdc (W)]],Table1[[#This Row],[RX Pdc (W)]])/Table1[[#This Row],[Array Aperture Size (cm2)]],"N/A")</f>
        <v>#VALUE!</v>
      </c>
      <c r="W14" s="1">
        <f>IF(OR(ISNUMBER(Table1[[#This Row],[TX Pdc (W)]]), ISNUMBER(Table1[[#This Row],[RX Pdc (W)]])),MAX(Table1[[#This Row],[TX Pdc (W)]],Table1[[#This Row],[RX Pdc (W)]])/(Table1[[#This Row],['# of Array Tile]]*Table1[[#This Row],['# of IC per Tile]])/(Table1[[#This Row],[Chip Size (mm2)]]*0.01),"N/A")</f>
        <v>39.487179487179489</v>
      </c>
      <c r="X14" s="23"/>
      <c r="Y14" s="1">
        <v>1</v>
      </c>
      <c r="Z14" s="1" t="s">
        <v>218</v>
      </c>
      <c r="AA14" s="1">
        <v>16</v>
      </c>
      <c r="AB14" s="1">
        <v>1</v>
      </c>
      <c r="AC14" s="1" t="s">
        <v>27</v>
      </c>
      <c r="AD14" s="1">
        <v>16</v>
      </c>
      <c r="AE14" s="1"/>
      <c r="AF14" s="1" t="s">
        <v>27</v>
      </c>
      <c r="AG14" s="1" t="s">
        <v>27</v>
      </c>
      <c r="AH14" s="1" t="e">
        <f t="shared" si="4"/>
        <v>#VALUE!</v>
      </c>
      <c r="AI14" s="1" t="e">
        <f t="shared" si="5"/>
        <v>#VALUE!</v>
      </c>
      <c r="AJ14" s="1">
        <v>1.95</v>
      </c>
      <c r="AK14" s="1">
        <v>2</v>
      </c>
      <c r="AL14" s="1">
        <f>Table1[[#This Row],[Chip Size -X (mm)]]*Table1[[#This Row],[Chip Size - Y (mm)]]</f>
        <v>3.9</v>
      </c>
      <c r="AM14" s="1">
        <v>1.56</v>
      </c>
      <c r="AN14" s="1">
        <v>1.8</v>
      </c>
      <c r="AO14" s="1">
        <f t="shared" si="6"/>
        <v>0.35100000000000003</v>
      </c>
      <c r="AP14" s="2"/>
      <c r="AQ14" s="1"/>
      <c r="AR14" s="1"/>
      <c r="AS14" s="1"/>
      <c r="AT14" s="1"/>
      <c r="AU14" s="1"/>
      <c r="AV14" s="1"/>
      <c r="AW14" s="1"/>
      <c r="AX14" s="1"/>
    </row>
    <row r="15" spans="1:50" x14ac:dyDescent="0.2">
      <c r="A15" s="1" t="s">
        <v>68</v>
      </c>
      <c r="B15" s="1">
        <v>2014</v>
      </c>
      <c r="C15" s="1">
        <v>12</v>
      </c>
      <c r="D15" s="1" t="s">
        <v>320</v>
      </c>
      <c r="E15" s="29" t="s">
        <v>321</v>
      </c>
      <c r="F15" s="1" t="s">
        <v>35</v>
      </c>
      <c r="G15" s="1" t="s">
        <v>20</v>
      </c>
      <c r="H15" s="1">
        <v>40</v>
      </c>
      <c r="I15" s="1">
        <v>60</v>
      </c>
      <c r="J15" s="1">
        <f t="shared" si="7"/>
        <v>32</v>
      </c>
      <c r="K15" s="1">
        <v>2</v>
      </c>
      <c r="L15" s="1">
        <f t="shared" si="0"/>
        <v>16</v>
      </c>
      <c r="M15" s="1">
        <f t="shared" si="1"/>
        <v>16</v>
      </c>
      <c r="N15" s="1">
        <v>1</v>
      </c>
      <c r="O15" s="1">
        <v>1</v>
      </c>
      <c r="P15" s="1" t="s">
        <v>224</v>
      </c>
      <c r="Q15" s="1">
        <v>27</v>
      </c>
      <c r="R15" s="1">
        <f t="shared" si="2"/>
        <v>16</v>
      </c>
      <c r="S15" s="25" t="str">
        <f>IF(AQ15="","N/A",10*LOG10(10^(AQ15/10)*AD15*AB15*Y15))</f>
        <v>N/A</v>
      </c>
      <c r="T15" s="1">
        <v>1.19</v>
      </c>
      <c r="U15" s="1">
        <v>0.96</v>
      </c>
      <c r="V15" s="1" t="e">
        <f>IF(OR(ISNUMBER(Table1[[#This Row],[TX Pdc (W)]]), ISNUMBER(Table1[[#This Row],[RX Pdc (W)]])),MAX(Table1[[#This Row],[TX Pdc (W)]],Table1[[#This Row],[RX Pdc (W)]])/Table1[[#This Row],[Array Aperture Size (cm2)]],"N/A")</f>
        <v>#VALUE!</v>
      </c>
      <c r="W15" s="1">
        <f>IF(OR(ISNUMBER(Table1[[#This Row],[TX Pdc (W)]]), ISNUMBER(Table1[[#This Row],[RX Pdc (W)]])),MAX(Table1[[#This Row],[TX Pdc (W)]],Table1[[#This Row],[RX Pdc (W)]])/(Table1[[#This Row],['# of Array Tile]]*Table1[[#This Row],['# of IC per Tile]])/(Table1[[#This Row],[Chip Size (mm2)]]*0.01),"N/A")</f>
        <v>4.5212765957446805</v>
      </c>
      <c r="X15" s="23"/>
      <c r="Y15" s="1">
        <v>1</v>
      </c>
      <c r="Z15" s="1" t="s">
        <v>227</v>
      </c>
      <c r="AA15" s="1">
        <v>16</v>
      </c>
      <c r="AB15" s="1">
        <v>1</v>
      </c>
      <c r="AC15" s="1" t="s">
        <v>309</v>
      </c>
      <c r="AD15" s="1">
        <v>16</v>
      </c>
      <c r="AE15" s="1">
        <v>16</v>
      </c>
      <c r="AF15" s="1" t="s">
        <v>27</v>
      </c>
      <c r="AG15" s="1" t="s">
        <v>27</v>
      </c>
      <c r="AH15" s="1" t="e">
        <f t="shared" si="4"/>
        <v>#VALUE!</v>
      </c>
      <c r="AI15" s="1" t="e">
        <f t="shared" si="5"/>
        <v>#VALUE!</v>
      </c>
      <c r="AJ15" s="1">
        <v>4.7</v>
      </c>
      <c r="AK15" s="1">
        <v>5.6</v>
      </c>
      <c r="AL15" s="1">
        <f>Table1[[#This Row],[Chip Size -X (mm)]]*Table1[[#This Row],[Chip Size - Y (mm)]]</f>
        <v>26.32</v>
      </c>
      <c r="AM15" s="1">
        <v>4.49</v>
      </c>
      <c r="AN15" s="1">
        <f>1.56*2</f>
        <v>3.12</v>
      </c>
      <c r="AO15" s="1">
        <f t="shared" si="6"/>
        <v>0.87555000000000005</v>
      </c>
      <c r="AP15" s="2"/>
      <c r="AQ15" s="1"/>
      <c r="AR15" s="1"/>
      <c r="AS15" s="1"/>
      <c r="AT15" s="1">
        <v>10</v>
      </c>
      <c r="AU15" s="1"/>
      <c r="AV15" s="1"/>
      <c r="AW15" s="1"/>
      <c r="AX15" s="1" t="s">
        <v>322</v>
      </c>
    </row>
    <row r="16" spans="1:50" x14ac:dyDescent="0.2">
      <c r="A16" s="1" t="s">
        <v>31</v>
      </c>
      <c r="B16" s="1">
        <v>2015</v>
      </c>
      <c r="C16" s="1">
        <v>5</v>
      </c>
      <c r="D16" s="1" t="s">
        <v>79</v>
      </c>
      <c r="E16" s="29" t="s">
        <v>78</v>
      </c>
      <c r="F16" s="1" t="s">
        <v>35</v>
      </c>
      <c r="G16" s="1" t="s">
        <v>17</v>
      </c>
      <c r="H16" s="1">
        <v>180</v>
      </c>
      <c r="I16" s="1">
        <v>70</v>
      </c>
      <c r="J16" s="1">
        <f t="shared" si="7"/>
        <v>20</v>
      </c>
      <c r="K16" s="1">
        <v>2</v>
      </c>
      <c r="L16" s="1">
        <f t="shared" si="0"/>
        <v>16</v>
      </c>
      <c r="M16" s="1">
        <f t="shared" si="1"/>
        <v>4</v>
      </c>
      <c r="N16" s="1">
        <v>1</v>
      </c>
      <c r="O16" s="1">
        <v>1</v>
      </c>
      <c r="P16" s="1" t="s">
        <v>223</v>
      </c>
      <c r="Q16" s="1">
        <v>34</v>
      </c>
      <c r="R16" s="1">
        <v>16</v>
      </c>
      <c r="S16" s="25" t="str">
        <f>IF(AQ16="","N/A",10*LOG10(10^(AQ16/10)*AD16*AB16*Y16))</f>
        <v>N/A</v>
      </c>
      <c r="T16" s="1">
        <v>5.5</v>
      </c>
      <c r="U16" s="1">
        <f>IF(AW16="","N/A",AW16*AE16*AB16*Y16/1000)</f>
        <v>1</v>
      </c>
      <c r="V16" s="1">
        <f>IF(OR(ISNUMBER(Table1[[#This Row],[TX Pdc (W)]]), ISNUMBER(Table1[[#This Row],[RX Pdc (W)]])),MAX(Table1[[#This Row],[TX Pdc (W)]],Table1[[#This Row],[RX Pdc (W)]])/Table1[[#This Row],[Array Aperture Size (cm2)]],"N/A")</f>
        <v>8.4876543209876534</v>
      </c>
      <c r="W16" s="1">
        <f>IF(OR(ISNUMBER(Table1[[#This Row],[TX Pdc (W)]]), ISNUMBER(Table1[[#This Row],[RX Pdc (W)]])),MAX(Table1[[#This Row],[TX Pdc (W)]],Table1[[#This Row],[RX Pdc (W)]])/(Table1[[#This Row],['# of Array Tile]]*Table1[[#This Row],['# of IC per Tile]])/(Table1[[#This Row],[Chip Size (mm2)]]*0.01),"N/A")</f>
        <v>22.448979591836736</v>
      </c>
      <c r="X16" s="23"/>
      <c r="Y16" s="1">
        <v>1</v>
      </c>
      <c r="Z16" s="1" t="s">
        <v>223</v>
      </c>
      <c r="AA16" s="1">
        <v>20</v>
      </c>
      <c r="AB16" s="1">
        <v>1</v>
      </c>
      <c r="AC16" s="1" t="s">
        <v>310</v>
      </c>
      <c r="AD16" s="1">
        <v>16</v>
      </c>
      <c r="AE16" s="1">
        <v>4</v>
      </c>
      <c r="AF16" s="1">
        <v>0.72</v>
      </c>
      <c r="AG16" s="1">
        <v>0.9</v>
      </c>
      <c r="AH16" s="1">
        <f t="shared" si="4"/>
        <v>0.64800000000000002</v>
      </c>
      <c r="AI16" s="1">
        <f t="shared" si="5"/>
        <v>3.2399999999999998</v>
      </c>
      <c r="AJ16" s="1">
        <v>3.5</v>
      </c>
      <c r="AK16" s="1">
        <v>7</v>
      </c>
      <c r="AL16" s="1">
        <f>Table1[[#This Row],[Chip Size -X (mm)]]*Table1[[#This Row],[Chip Size - Y (mm)]]</f>
        <v>24.5</v>
      </c>
      <c r="AM16" s="1">
        <v>3.22</v>
      </c>
      <c r="AN16" s="1">
        <v>6.65</v>
      </c>
      <c r="AO16" s="1">
        <f t="shared" si="6"/>
        <v>2.1413000000000002</v>
      </c>
      <c r="AP16" s="2"/>
      <c r="AQ16" s="1"/>
      <c r="AR16" s="1"/>
      <c r="AS16" s="1"/>
      <c r="AT16" s="1"/>
      <c r="AU16" s="1"/>
      <c r="AV16" s="1">
        <v>300</v>
      </c>
      <c r="AW16" s="1">
        <v>250</v>
      </c>
      <c r="AX16" s="1"/>
    </row>
    <row r="17" spans="1:50" x14ac:dyDescent="0.2">
      <c r="A17" s="1" t="s">
        <v>31</v>
      </c>
      <c r="B17" s="1">
        <v>2015</v>
      </c>
      <c r="C17" s="1">
        <v>5</v>
      </c>
      <c r="D17" s="1" t="s">
        <v>79</v>
      </c>
      <c r="E17" s="29" t="s">
        <v>78</v>
      </c>
      <c r="F17" s="1" t="s">
        <v>35</v>
      </c>
      <c r="G17" s="1" t="s">
        <v>17</v>
      </c>
      <c r="H17" s="1">
        <v>180</v>
      </c>
      <c r="I17" s="1">
        <v>85</v>
      </c>
      <c r="J17" s="1">
        <f t="shared" si="7"/>
        <v>20</v>
      </c>
      <c r="K17" s="1">
        <v>2</v>
      </c>
      <c r="L17" s="1">
        <f t="shared" si="0"/>
        <v>4</v>
      </c>
      <c r="M17" s="1">
        <f t="shared" si="1"/>
        <v>16</v>
      </c>
      <c r="N17" s="1">
        <v>1</v>
      </c>
      <c r="O17" s="1">
        <v>1</v>
      </c>
      <c r="P17" s="1" t="s">
        <v>223</v>
      </c>
      <c r="Q17" s="1"/>
      <c r="R17" s="1" t="str">
        <f t="shared" ref="R17:R47" si="8">IF(Q17="","",Y17*AA17)</f>
        <v/>
      </c>
      <c r="S17" s="25">
        <f>IF(AQ17="","N/A",10*LOG10(10^(AQ17/10)*AD17*AB17*Y17))</f>
        <v>14.020599913279625</v>
      </c>
      <c r="T17" s="1">
        <f>IF(AV17="","N/A",AV17*AD17*AB17*Y17/1000)</f>
        <v>1.2</v>
      </c>
      <c r="U17" s="1">
        <v>4.5</v>
      </c>
      <c r="V17" s="1">
        <f>IF(OR(ISNUMBER(Table1[[#This Row],[TX Pdc (W)]]), ISNUMBER(Table1[[#This Row],[RX Pdc (W)]])),MAX(Table1[[#This Row],[TX Pdc (W)]],Table1[[#This Row],[RX Pdc (W)]])/Table1[[#This Row],[Array Aperture Size (cm2)]],"N/A")</f>
        <v>6.9444444444444446</v>
      </c>
      <c r="W17" s="1">
        <f>IF(OR(ISNUMBER(Table1[[#This Row],[TX Pdc (W)]]), ISNUMBER(Table1[[#This Row],[RX Pdc (W)]])),MAX(Table1[[#This Row],[TX Pdc (W)]],Table1[[#This Row],[RX Pdc (W)]])/(Table1[[#This Row],['# of Array Tile]]*Table1[[#This Row],['# of IC per Tile]])/(Table1[[#This Row],[Chip Size (mm2)]]*0.01),"N/A")</f>
        <v>18.367346938775512</v>
      </c>
      <c r="X17" s="23"/>
      <c r="Y17" s="1">
        <v>1</v>
      </c>
      <c r="Z17" s="1" t="s">
        <v>223</v>
      </c>
      <c r="AA17" s="1">
        <v>20</v>
      </c>
      <c r="AB17" s="1">
        <v>1</v>
      </c>
      <c r="AC17" s="1" t="s">
        <v>310</v>
      </c>
      <c r="AD17" s="1">
        <v>4</v>
      </c>
      <c r="AE17" s="1">
        <v>16</v>
      </c>
      <c r="AF17" s="1">
        <v>0.72</v>
      </c>
      <c r="AG17" s="1">
        <v>0.9</v>
      </c>
      <c r="AH17" s="1">
        <f t="shared" si="4"/>
        <v>0.64800000000000002</v>
      </c>
      <c r="AI17" s="1">
        <f t="shared" si="5"/>
        <v>3.2399999999999998</v>
      </c>
      <c r="AJ17" s="1">
        <v>3.5</v>
      </c>
      <c r="AK17" s="1">
        <v>7</v>
      </c>
      <c r="AL17" s="1">
        <f>Table1[[#This Row],[Chip Size -X (mm)]]*Table1[[#This Row],[Chip Size - Y (mm)]]</f>
        <v>24.5</v>
      </c>
      <c r="AM17" s="1">
        <v>3.22</v>
      </c>
      <c r="AN17" s="1">
        <v>6.65</v>
      </c>
      <c r="AO17" s="1">
        <f t="shared" si="6"/>
        <v>2.1413000000000002</v>
      </c>
      <c r="AP17" s="2"/>
      <c r="AQ17" s="1">
        <v>8</v>
      </c>
      <c r="AR17" s="1"/>
      <c r="AS17" s="1"/>
      <c r="AT17" s="1">
        <v>6.5</v>
      </c>
      <c r="AU17" s="1"/>
      <c r="AV17" s="1">
        <v>300</v>
      </c>
      <c r="AW17" s="1">
        <v>250</v>
      </c>
      <c r="AX17" s="1"/>
    </row>
    <row r="18" spans="1:50" x14ac:dyDescent="0.2">
      <c r="A18" s="1" t="s">
        <v>271</v>
      </c>
      <c r="B18" s="1">
        <v>2016</v>
      </c>
      <c r="C18" s="1">
        <v>4</v>
      </c>
      <c r="D18" s="1" t="s">
        <v>272</v>
      </c>
      <c r="E18" s="29" t="s">
        <v>270</v>
      </c>
      <c r="F18" s="1" t="s">
        <v>151</v>
      </c>
      <c r="G18" s="1"/>
      <c r="H18" s="1"/>
      <c r="I18" s="1">
        <v>45</v>
      </c>
      <c r="J18" s="1">
        <f t="shared" si="7"/>
        <v>0</v>
      </c>
      <c r="K18" s="1">
        <v>2</v>
      </c>
      <c r="L18" s="1">
        <f t="shared" si="0"/>
        <v>0</v>
      </c>
      <c r="M18" s="1">
        <f t="shared" si="1"/>
        <v>0</v>
      </c>
      <c r="N18" s="1">
        <v>1</v>
      </c>
      <c r="O18" s="1">
        <v>1</v>
      </c>
      <c r="P18" s="1" t="s">
        <v>223</v>
      </c>
      <c r="Q18" s="1"/>
      <c r="R18" s="1" t="str">
        <f t="shared" si="8"/>
        <v/>
      </c>
      <c r="S18" s="25" t="str">
        <f>IF(AQ18="","N/A",10*LOG10(10^(AQ18/10)*AD18*AB18*Y18))</f>
        <v>N/A</v>
      </c>
      <c r="T18" s="1" t="str">
        <f>IF(AV18="","N/A",AV18*AD18*AB18*Y18/1000)</f>
        <v>N/A</v>
      </c>
      <c r="U18" s="1" t="str">
        <f>IF(AW18="","N/A",AW18*AE18*AB18*Y18/1000)</f>
        <v>N/A</v>
      </c>
      <c r="V18" s="1" t="str">
        <f>IF(OR(ISNUMBER(Table1[[#This Row],[TX Pdc (W)]]), ISNUMBER(Table1[[#This Row],[RX Pdc (W)]])),MAX(Table1[[#This Row],[TX Pdc (W)]],Table1[[#This Row],[RX Pdc (W)]])/Table1[[#This Row],[Array Aperture Size (cm2)]],"N/A")</f>
        <v>N/A</v>
      </c>
      <c r="W18" s="1" t="str">
        <f>IF(OR(ISNUMBER(Table1[[#This Row],[TX Pdc (W)]]), ISNUMBER(Table1[[#This Row],[RX Pdc (W)]])),MAX(Table1[[#This Row],[TX Pdc (W)]],Table1[[#This Row],[RX Pdc (W)]])/(Table1[[#This Row],['# of Array Tile]]*Table1[[#This Row],['# of IC per Tile]])/(Table1[[#This Row],[Chip Size (mm2)]]*0.01),"N/A")</f>
        <v>N/A</v>
      </c>
      <c r="X18" s="23"/>
      <c r="Y18" s="1">
        <v>1</v>
      </c>
      <c r="Z18" s="1" t="s">
        <v>223</v>
      </c>
      <c r="AA18" s="1">
        <v>1296</v>
      </c>
      <c r="AB18" s="1"/>
      <c r="AC18" s="1" t="s">
        <v>27</v>
      </c>
      <c r="AD18" s="1"/>
      <c r="AE18" s="1"/>
      <c r="AF18" s="1">
        <v>10.5</v>
      </c>
      <c r="AG18" s="1">
        <v>10.5</v>
      </c>
      <c r="AH18" s="1">
        <f t="shared" si="4"/>
        <v>110.25</v>
      </c>
      <c r="AI18" s="1">
        <f t="shared" si="5"/>
        <v>8.5069444444444446</v>
      </c>
      <c r="AJ18" s="1"/>
      <c r="AK18" s="1"/>
      <c r="AL18" s="1">
        <f>Table1[[#This Row],[Chip Size -X (mm)]]*Table1[[#This Row],[Chip Size - Y (mm)]]</f>
        <v>0</v>
      </c>
      <c r="AM18" s="1"/>
      <c r="AN18" s="1"/>
      <c r="AO18" s="1" t="e">
        <f t="shared" si="6"/>
        <v>#DIV/0!</v>
      </c>
      <c r="AP18" s="2"/>
      <c r="AQ18" s="1"/>
      <c r="AR18" s="1">
        <v>49.2</v>
      </c>
      <c r="AS18" s="1">
        <v>31.9</v>
      </c>
      <c r="AT18" s="1"/>
      <c r="AU18" s="1"/>
      <c r="AV18" s="1"/>
      <c r="AW18" s="1"/>
      <c r="AX18" s="1" t="s">
        <v>275</v>
      </c>
    </row>
    <row r="19" spans="1:50" x14ac:dyDescent="0.2">
      <c r="A19" s="1" t="s">
        <v>49</v>
      </c>
      <c r="B19" s="1">
        <v>2016</v>
      </c>
      <c r="C19" s="1">
        <v>10</v>
      </c>
      <c r="D19" s="1" t="s">
        <v>50</v>
      </c>
      <c r="E19" s="29" t="s">
        <v>48</v>
      </c>
      <c r="F19" s="1" t="s">
        <v>41</v>
      </c>
      <c r="G19" s="1" t="s">
        <v>51</v>
      </c>
      <c r="H19" s="1">
        <v>45</v>
      </c>
      <c r="I19" s="1">
        <v>390</v>
      </c>
      <c r="J19" s="1">
        <f t="shared" si="7"/>
        <v>8</v>
      </c>
      <c r="K19" s="1">
        <v>1</v>
      </c>
      <c r="L19" s="1">
        <f t="shared" si="0"/>
        <v>8</v>
      </c>
      <c r="M19" s="1">
        <f t="shared" si="1"/>
        <v>0</v>
      </c>
      <c r="N19" s="1">
        <v>1</v>
      </c>
      <c r="O19" s="1"/>
      <c r="P19" s="1" t="s">
        <v>218</v>
      </c>
      <c r="Q19" s="1">
        <v>8</v>
      </c>
      <c r="R19" s="1">
        <f t="shared" si="8"/>
        <v>8</v>
      </c>
      <c r="S19" s="25">
        <f>10*LOG10(0.2)</f>
        <v>-6.9897000433601875</v>
      </c>
      <c r="T19" s="1">
        <f>IF(AV19="","N/A",AV19*AD19*AB19*Y19/1000)</f>
        <v>1.5</v>
      </c>
      <c r="U19" s="1" t="str">
        <f>IF(AW19="","N/A",AW19*AE19*AB19*Y19/1000)</f>
        <v>N/A</v>
      </c>
      <c r="V19" s="1">
        <f>IF(OR(ISNUMBER(Table1[[#This Row],[TX Pdc (W)]]), ISNUMBER(Table1[[#This Row],[RX Pdc (W)]])),MAX(Table1[[#This Row],[TX Pdc (W)]],Table1[[#This Row],[RX Pdc (W)]])/Table1[[#This Row],[Array Aperture Size (cm2)]],"N/A")</f>
        <v>17.241379310344829</v>
      </c>
      <c r="W19" s="1">
        <f>IF(OR(ISNUMBER(Table1[[#This Row],[TX Pdc (W)]]), ISNUMBER(Table1[[#This Row],[RX Pdc (W)]])),MAX(Table1[[#This Row],[TX Pdc (W)]],Table1[[#This Row],[RX Pdc (W)]])/(Table1[[#This Row],['# of Array Tile]]*Table1[[#This Row],['# of IC per Tile]])/(Table1[[#This Row],[Chip Size (mm2)]]*0.01),"N/A")</f>
        <v>14.285714285714286</v>
      </c>
      <c r="X19" s="23"/>
      <c r="Y19" s="1">
        <v>1</v>
      </c>
      <c r="Z19" s="1" t="s">
        <v>218</v>
      </c>
      <c r="AA19" s="1">
        <v>8</v>
      </c>
      <c r="AB19" s="1">
        <v>1</v>
      </c>
      <c r="AC19" s="1" t="s">
        <v>27</v>
      </c>
      <c r="AD19" s="1">
        <v>8</v>
      </c>
      <c r="AE19" s="1"/>
      <c r="AF19" s="1">
        <f>Table1[[#This Row],[Chip Core Size - X (mm)]]/10</f>
        <v>0.28999999999999998</v>
      </c>
      <c r="AG19" s="1">
        <f>Table1[[#This Row],[Chip Core Size -Y (mm)]]/10</f>
        <v>0.3</v>
      </c>
      <c r="AH19" s="1">
        <f t="shared" si="4"/>
        <v>8.6999999999999994E-2</v>
      </c>
      <c r="AI19" s="1">
        <f t="shared" si="5"/>
        <v>1.0874999999999999</v>
      </c>
      <c r="AJ19" s="1">
        <v>3</v>
      </c>
      <c r="AK19" s="1">
        <v>3.5</v>
      </c>
      <c r="AL19" s="1">
        <f>Table1[[#This Row],[Chip Size -X (mm)]]*Table1[[#This Row],[Chip Size - Y (mm)]]</f>
        <v>10.5</v>
      </c>
      <c r="AM19" s="1">
        <v>2.9</v>
      </c>
      <c r="AN19" s="1">
        <v>3</v>
      </c>
      <c r="AO19" s="1">
        <f t="shared" si="6"/>
        <v>2.1749999999999998</v>
      </c>
      <c r="AP19" s="2"/>
      <c r="AQ19" s="1"/>
      <c r="AR19" s="1"/>
      <c r="AS19" s="1"/>
      <c r="AT19" s="1"/>
      <c r="AU19" s="1"/>
      <c r="AV19" s="1">
        <f>1500/Table1[[#This Row],['# of TX Element per IC]]</f>
        <v>187.5</v>
      </c>
      <c r="AW19" s="1"/>
      <c r="AX19" s="1"/>
    </row>
    <row r="20" spans="1:50" x14ac:dyDescent="0.2">
      <c r="A20" s="1" t="s">
        <v>49</v>
      </c>
      <c r="B20" s="1">
        <v>2016</v>
      </c>
      <c r="C20" s="1">
        <v>12</v>
      </c>
      <c r="D20" s="1" t="s">
        <v>234</v>
      </c>
      <c r="E20" s="29" t="s">
        <v>235</v>
      </c>
      <c r="F20" s="1" t="s">
        <v>62</v>
      </c>
      <c r="G20" s="1" t="s">
        <v>17</v>
      </c>
      <c r="H20" s="1">
        <v>130</v>
      </c>
      <c r="I20" s="1">
        <v>60</v>
      </c>
      <c r="J20" s="1">
        <f t="shared" si="7"/>
        <v>64</v>
      </c>
      <c r="K20" s="1">
        <v>2</v>
      </c>
      <c r="L20" s="1">
        <f t="shared" si="0"/>
        <v>64</v>
      </c>
      <c r="M20" s="1">
        <f t="shared" si="1"/>
        <v>0</v>
      </c>
      <c r="N20" s="1">
        <v>1</v>
      </c>
      <c r="O20" s="1"/>
      <c r="P20" s="1" t="s">
        <v>224</v>
      </c>
      <c r="Q20" s="1">
        <v>38</v>
      </c>
      <c r="R20" s="1">
        <f t="shared" si="8"/>
        <v>64</v>
      </c>
      <c r="S20" s="25">
        <f>IF(AQ20="","N/A",10*LOG10(10^(AQ20/10)*AD20*AB20*Y20))</f>
        <v>21.061799739838875</v>
      </c>
      <c r="T20" s="1">
        <v>7</v>
      </c>
      <c r="U20" s="1">
        <v>0</v>
      </c>
      <c r="V20" s="1">
        <f>IF(OR(ISNUMBER(Table1[[#This Row],[TX Pdc (W)]]), ISNUMBER(Table1[[#This Row],[RX Pdc (W)]])),MAX(Table1[[#This Row],[TX Pdc (W)]],Table1[[#This Row],[RX Pdc (W)]])/Table1[[#This Row],[Array Aperture Size (cm2)]],"N/A")</f>
        <v>1.4868309260832622</v>
      </c>
      <c r="W20" s="1">
        <f>IF(OR(ISNUMBER(Table1[[#This Row],[TX Pdc (W)]]), ISNUMBER(Table1[[#This Row],[RX Pdc (W)]])),MAX(Table1[[#This Row],[TX Pdc (W)]],Table1[[#This Row],[RX Pdc (W)]])/(Table1[[#This Row],['# of Array Tile]]*Table1[[#This Row],['# of IC per Tile]])/(Table1[[#This Row],[Chip Size (mm2)]]*0.01),"N/A")</f>
        <v>1.75</v>
      </c>
      <c r="X20" s="23"/>
      <c r="Y20" s="1">
        <v>1</v>
      </c>
      <c r="Z20" s="1" t="s">
        <v>228</v>
      </c>
      <c r="AA20" s="1">
        <v>64</v>
      </c>
      <c r="AB20" s="1">
        <v>1</v>
      </c>
      <c r="AC20" s="1" t="s">
        <v>27</v>
      </c>
      <c r="AD20" s="1">
        <v>64</v>
      </c>
      <c r="AE20" s="1"/>
      <c r="AF20" s="1">
        <v>2.14</v>
      </c>
      <c r="AG20" s="1">
        <v>2.2000000000000002</v>
      </c>
      <c r="AH20" s="1">
        <f t="shared" si="4"/>
        <v>4.7080000000000011</v>
      </c>
      <c r="AI20" s="1">
        <f t="shared" si="5"/>
        <v>7.356250000000002</v>
      </c>
      <c r="AJ20" s="1">
        <v>20</v>
      </c>
      <c r="AK20" s="1">
        <v>20</v>
      </c>
      <c r="AL20" s="1">
        <f>Table1[[#This Row],[Chip Size -X (mm)]]*Table1[[#This Row],[Chip Size - Y (mm)]]</f>
        <v>400</v>
      </c>
      <c r="AM20" s="1">
        <v>20</v>
      </c>
      <c r="AN20" s="1">
        <v>20</v>
      </c>
      <c r="AO20" s="1">
        <f t="shared" si="6"/>
        <v>12.5</v>
      </c>
      <c r="AP20" s="2"/>
      <c r="AQ20" s="1">
        <v>3</v>
      </c>
      <c r="AR20" s="1"/>
      <c r="AS20" s="1"/>
      <c r="AT20" s="1"/>
      <c r="AU20" s="1"/>
      <c r="AV20" s="1"/>
      <c r="AW20" s="1"/>
      <c r="AX20" s="1" t="s">
        <v>236</v>
      </c>
    </row>
    <row r="21" spans="1:50" x14ac:dyDescent="0.2">
      <c r="A21" s="1" t="s">
        <v>49</v>
      </c>
      <c r="B21" s="1">
        <v>2016</v>
      </c>
      <c r="C21" s="1">
        <v>12</v>
      </c>
      <c r="D21" s="1" t="s">
        <v>234</v>
      </c>
      <c r="E21" s="29" t="s">
        <v>235</v>
      </c>
      <c r="F21" s="1" t="s">
        <v>62</v>
      </c>
      <c r="G21" s="1" t="s">
        <v>17</v>
      </c>
      <c r="H21" s="1">
        <v>130</v>
      </c>
      <c r="I21" s="1">
        <v>60</v>
      </c>
      <c r="J21" s="1">
        <f t="shared" si="7"/>
        <v>256</v>
      </c>
      <c r="K21" s="1">
        <v>2</v>
      </c>
      <c r="L21" s="1">
        <f t="shared" si="0"/>
        <v>256</v>
      </c>
      <c r="M21" s="1">
        <f t="shared" si="1"/>
        <v>0</v>
      </c>
      <c r="N21" s="1">
        <v>1</v>
      </c>
      <c r="O21" s="1"/>
      <c r="P21" s="1" t="s">
        <v>224</v>
      </c>
      <c r="Q21" s="1">
        <v>45</v>
      </c>
      <c r="R21" s="1">
        <f t="shared" si="8"/>
        <v>256</v>
      </c>
      <c r="S21" s="25">
        <f>IF(AQ21="","N/A",10*LOG10(10^(AQ21/10)*AD21*AB21*Y21))</f>
        <v>27.082399653118493</v>
      </c>
      <c r="T21" s="1">
        <v>32</v>
      </c>
      <c r="U21" s="1">
        <v>0</v>
      </c>
      <c r="V21" s="1">
        <f>IF(OR(ISNUMBER(Table1[[#This Row],[TX Pdc (W)]]), ISNUMBER(Table1[[#This Row],[RX Pdc (W)]])),MAX(Table1[[#This Row],[TX Pdc (W)]],Table1[[#This Row],[RX Pdc (W)]])/Table1[[#This Row],[Array Aperture Size (cm2)]],"N/A")</f>
        <v>1.8403496664366232</v>
      </c>
      <c r="W21" s="1">
        <f>IF(OR(ISNUMBER(Table1[[#This Row],[TX Pdc (W)]]), ISNUMBER(Table1[[#This Row],[RX Pdc (W)]])),MAX(Table1[[#This Row],[TX Pdc (W)]],Table1[[#This Row],[RX Pdc (W)]])/(Table1[[#This Row],['# of Array Tile]]*Table1[[#This Row],['# of IC per Tile]])/(Table1[[#This Row],[Chip Size (mm2)]]*0.01),"N/A")</f>
        <v>2</v>
      </c>
      <c r="X21" s="23"/>
      <c r="Y21" s="1">
        <v>1</v>
      </c>
      <c r="Z21" s="1" t="s">
        <v>228</v>
      </c>
      <c r="AA21" s="1">
        <v>256</v>
      </c>
      <c r="AB21" s="1">
        <v>4</v>
      </c>
      <c r="AC21" s="1" t="s">
        <v>27</v>
      </c>
      <c r="AD21" s="1">
        <v>64</v>
      </c>
      <c r="AE21" s="1"/>
      <c r="AF21" s="1">
        <v>4.1399999999999997</v>
      </c>
      <c r="AG21" s="1">
        <v>4.2</v>
      </c>
      <c r="AH21" s="1">
        <f t="shared" si="4"/>
        <v>17.387999999999998</v>
      </c>
      <c r="AI21" s="1">
        <f t="shared" si="5"/>
        <v>6.7921874999999989</v>
      </c>
      <c r="AJ21" s="1">
        <v>20</v>
      </c>
      <c r="AK21" s="1">
        <v>20</v>
      </c>
      <c r="AL21" s="1">
        <f>Table1[[#This Row],[Chip Size -X (mm)]]*Table1[[#This Row],[Chip Size - Y (mm)]]</f>
        <v>400</v>
      </c>
      <c r="AM21" s="1">
        <v>20</v>
      </c>
      <c r="AN21" s="1">
        <v>20</v>
      </c>
      <c r="AO21" s="1">
        <f t="shared" si="6"/>
        <v>12.5</v>
      </c>
      <c r="AP21" s="2"/>
      <c r="AQ21" s="1">
        <v>3</v>
      </c>
      <c r="AR21" s="1"/>
      <c r="AS21" s="1"/>
      <c r="AT21" s="1"/>
      <c r="AU21" s="1"/>
      <c r="AV21" s="1"/>
      <c r="AW21" s="1"/>
      <c r="AX21" s="1" t="s">
        <v>236</v>
      </c>
    </row>
    <row r="22" spans="1:50" x14ac:dyDescent="0.2">
      <c r="A22" s="1" t="s">
        <v>14</v>
      </c>
      <c r="B22" s="1">
        <v>2017</v>
      </c>
      <c r="C22" s="1">
        <v>2</v>
      </c>
      <c r="D22" s="1" t="s">
        <v>96</v>
      </c>
      <c r="E22" s="29" t="s">
        <v>95</v>
      </c>
      <c r="F22" s="1" t="s">
        <v>35</v>
      </c>
      <c r="G22" s="1" t="s">
        <v>17</v>
      </c>
      <c r="H22" s="1">
        <v>130</v>
      </c>
      <c r="I22" s="1">
        <v>28</v>
      </c>
      <c r="J22" s="1">
        <f t="shared" si="7"/>
        <v>128</v>
      </c>
      <c r="K22" s="1">
        <v>2</v>
      </c>
      <c r="L22" s="1">
        <f t="shared" si="0"/>
        <v>64</v>
      </c>
      <c r="M22" s="1">
        <f t="shared" si="1"/>
        <v>64</v>
      </c>
      <c r="N22" s="1">
        <v>2</v>
      </c>
      <c r="O22" s="1">
        <v>2</v>
      </c>
      <c r="P22" s="1" t="s">
        <v>224</v>
      </c>
      <c r="Q22" s="1"/>
      <c r="R22" s="1" t="str">
        <f t="shared" si="8"/>
        <v/>
      </c>
      <c r="S22" s="25">
        <v>31</v>
      </c>
      <c r="T22" s="1">
        <f>5.1*Table1[[#This Row],[TX '# of Polarization]]*Table1[[#This Row],['# of IC per Tile]]</f>
        <v>40.799999999999997</v>
      </c>
      <c r="U22" s="1">
        <f>3.3*Table1[[#This Row],[RX '# of Polarization]]*Table1[[#This Row],['# of IC per Tile]]</f>
        <v>26.4</v>
      </c>
      <c r="V22" s="1" t="e">
        <f>IF(OR(ISNUMBER(Table1[[#This Row],[TX Pdc (W)]]), ISNUMBER(Table1[[#This Row],[RX Pdc (W)]])),MAX(Table1[[#This Row],[TX Pdc (W)]],Table1[[#This Row],[RX Pdc (W)]])/Table1[[#This Row],[Array Aperture Size (cm2)]],"N/A")</f>
        <v>#VALUE!</v>
      </c>
      <c r="W22" s="1">
        <f>IF(OR(ISNUMBER(Table1[[#This Row],[TX Pdc (W)]]), ISNUMBER(Table1[[#This Row],[RX Pdc (W)]])),MAX(Table1[[#This Row],[TX Pdc (W)]],Table1[[#This Row],[RX Pdc (W)]])/(Table1[[#This Row],['# of Array Tile]]*Table1[[#This Row],['# of IC per Tile]])/(Table1[[#This Row],[Chip Size (mm2)]]*0.01),"N/A")</f>
        <v>6.1482820976491857</v>
      </c>
      <c r="X22" s="23"/>
      <c r="Y22" s="1">
        <v>1</v>
      </c>
      <c r="Z22" s="1"/>
      <c r="AA22" s="1">
        <v>64</v>
      </c>
      <c r="AB22" s="1">
        <v>4</v>
      </c>
      <c r="AC22" s="1" t="s">
        <v>309</v>
      </c>
      <c r="AD22" s="1">
        <v>16</v>
      </c>
      <c r="AE22" s="1">
        <v>16</v>
      </c>
      <c r="AF22" s="1" t="s">
        <v>27</v>
      </c>
      <c r="AG22" s="1" t="s">
        <v>27</v>
      </c>
      <c r="AH22" s="1" t="e">
        <f t="shared" si="4"/>
        <v>#VALUE!</v>
      </c>
      <c r="AI22" s="1" t="e">
        <f t="shared" si="5"/>
        <v>#VALUE!</v>
      </c>
      <c r="AJ22" s="1">
        <v>15.8</v>
      </c>
      <c r="AK22" s="1">
        <v>10.5</v>
      </c>
      <c r="AL22" s="1">
        <f>Table1[[#This Row],[Chip Size -X (mm)]]*Table1[[#This Row],[Chip Size - Y (mm)]]</f>
        <v>165.9</v>
      </c>
      <c r="AM22" s="1">
        <v>15.14</v>
      </c>
      <c r="AN22" s="1">
        <v>10.130000000000001</v>
      </c>
      <c r="AO22" s="1">
        <f t="shared" si="6"/>
        <v>9.5855125000000019</v>
      </c>
      <c r="AP22" s="2"/>
      <c r="AQ22" s="1">
        <v>16</v>
      </c>
      <c r="AR22" s="1">
        <v>20.5</v>
      </c>
      <c r="AS22" s="1">
        <v>34</v>
      </c>
      <c r="AT22" s="1">
        <v>6</v>
      </c>
      <c r="AU22" s="1">
        <v>35</v>
      </c>
      <c r="AV22" s="1"/>
      <c r="AW22" s="1"/>
      <c r="AX22" s="1"/>
    </row>
    <row r="23" spans="1:50" x14ac:dyDescent="0.2">
      <c r="A23" s="1" t="s">
        <v>14</v>
      </c>
      <c r="B23" s="1">
        <v>2017</v>
      </c>
      <c r="C23" s="1">
        <v>2</v>
      </c>
      <c r="D23" s="1" t="s">
        <v>55</v>
      </c>
      <c r="E23" s="29" t="s">
        <v>59</v>
      </c>
      <c r="F23" s="1" t="s">
        <v>41</v>
      </c>
      <c r="G23" s="1" t="s">
        <v>51</v>
      </c>
      <c r="H23" s="1">
        <v>45</v>
      </c>
      <c r="I23" s="1">
        <v>290</v>
      </c>
      <c r="J23" s="1">
        <f t="shared" si="7"/>
        <v>1</v>
      </c>
      <c r="K23" s="1" t="s">
        <v>27</v>
      </c>
      <c r="L23" s="1">
        <f t="shared" si="0"/>
        <v>1</v>
      </c>
      <c r="M23" s="1">
        <f t="shared" si="1"/>
        <v>0</v>
      </c>
      <c r="N23" s="1">
        <v>1</v>
      </c>
      <c r="O23" s="1"/>
      <c r="P23" s="1" t="s">
        <v>223</v>
      </c>
      <c r="Q23" s="1"/>
      <c r="R23" s="1" t="str">
        <f t="shared" si="8"/>
        <v/>
      </c>
      <c r="S23" s="25">
        <f t="shared" ref="S23:S47" si="9">IF(AQ23="","N/A",10*LOG10(10^(AQ23/10)*AD23*AB23*Y23))</f>
        <v>-11.5</v>
      </c>
      <c r="T23" s="1">
        <f t="shared" ref="T23:T30" si="10">IF(AV23="","N/A",AV23*AD23*AB23*Y23/1000)</f>
        <v>6.5000000000000002E-2</v>
      </c>
      <c r="U23" s="1" t="str">
        <f t="shared" ref="U23:U30" si="11">IF(AW23="","N/A",AW23*AE23*AB23*Y23/1000)</f>
        <v>N/A</v>
      </c>
      <c r="V23" s="1" t="e">
        <f>IF(OR(ISNUMBER(Table1[[#This Row],[TX Pdc (W)]]), ISNUMBER(Table1[[#This Row],[RX Pdc (W)]])),MAX(Table1[[#This Row],[TX Pdc (W)]],Table1[[#This Row],[RX Pdc (W)]])/Table1[[#This Row],[Array Aperture Size (cm2)]],"N/A")</f>
        <v>#VALUE!</v>
      </c>
      <c r="W23" s="1">
        <f>IF(OR(ISNUMBER(Table1[[#This Row],[TX Pdc (W)]]), ISNUMBER(Table1[[#This Row],[RX Pdc (W)]])),MAX(Table1[[#This Row],[TX Pdc (W)]],Table1[[#This Row],[RX Pdc (W)]])/(Table1[[#This Row],['# of Array Tile]]*Table1[[#This Row],['# of IC per Tile]])/(Table1[[#This Row],[Chip Size (mm2)]]*0.01),"N/A")</f>
        <v>3.1249999999999996</v>
      </c>
      <c r="X23" s="23"/>
      <c r="Y23" s="1">
        <v>1</v>
      </c>
      <c r="Z23" s="1" t="s">
        <v>223</v>
      </c>
      <c r="AA23" s="1">
        <v>1</v>
      </c>
      <c r="AB23" s="1">
        <v>1</v>
      </c>
      <c r="AC23" s="1" t="s">
        <v>27</v>
      </c>
      <c r="AD23" s="1">
        <v>1</v>
      </c>
      <c r="AE23" s="1"/>
      <c r="AF23" s="1" t="s">
        <v>27</v>
      </c>
      <c r="AG23" s="1" t="s">
        <v>27</v>
      </c>
      <c r="AH23" s="1" t="e">
        <f t="shared" si="4"/>
        <v>#VALUE!</v>
      </c>
      <c r="AI23" s="1" t="e">
        <f t="shared" si="5"/>
        <v>#VALUE!</v>
      </c>
      <c r="AJ23" s="1">
        <v>1.6</v>
      </c>
      <c r="AK23" s="1">
        <v>1.3</v>
      </c>
      <c r="AL23" s="1">
        <f>Table1[[#This Row],[Chip Size -X (mm)]]*Table1[[#This Row],[Chip Size - Y (mm)]]</f>
        <v>2.08</v>
      </c>
      <c r="AM23" s="1">
        <v>1.39</v>
      </c>
      <c r="AN23" s="1">
        <v>0.76</v>
      </c>
      <c r="AO23" s="1">
        <f t="shared" si="6"/>
        <v>2.1128</v>
      </c>
      <c r="AP23" s="2"/>
      <c r="AQ23" s="1">
        <v>-11.5</v>
      </c>
      <c r="AR23" s="1"/>
      <c r="AS23" s="1"/>
      <c r="AT23" s="1"/>
      <c r="AU23" s="1"/>
      <c r="AV23" s="1">
        <v>65</v>
      </c>
      <c r="AW23" s="1"/>
      <c r="AX23" s="1"/>
    </row>
    <row r="24" spans="1:50" x14ac:dyDescent="0.2">
      <c r="A24" s="1" t="s">
        <v>14</v>
      </c>
      <c r="B24" s="1">
        <v>2017</v>
      </c>
      <c r="C24" s="1">
        <v>2</v>
      </c>
      <c r="D24" s="1" t="s">
        <v>55</v>
      </c>
      <c r="E24" s="29" t="s">
        <v>59</v>
      </c>
      <c r="F24" s="1" t="s">
        <v>33</v>
      </c>
      <c r="G24" s="1" t="s">
        <v>51</v>
      </c>
      <c r="H24" s="1">
        <v>45</v>
      </c>
      <c r="I24" s="1">
        <v>290</v>
      </c>
      <c r="J24" s="1">
        <f t="shared" si="7"/>
        <v>1</v>
      </c>
      <c r="K24" s="1" t="s">
        <v>27</v>
      </c>
      <c r="L24" s="1">
        <f t="shared" si="0"/>
        <v>0</v>
      </c>
      <c r="M24" s="1">
        <f t="shared" si="1"/>
        <v>1</v>
      </c>
      <c r="N24" s="1"/>
      <c r="O24" s="1">
        <v>1</v>
      </c>
      <c r="P24" s="1" t="s">
        <v>223</v>
      </c>
      <c r="Q24" s="1"/>
      <c r="R24" s="1" t="str">
        <f t="shared" si="8"/>
        <v/>
      </c>
      <c r="S24" s="25" t="str">
        <f t="shared" si="9"/>
        <v>N/A</v>
      </c>
      <c r="T24" s="1" t="str">
        <f t="shared" si="10"/>
        <v>N/A</v>
      </c>
      <c r="U24" s="1">
        <f t="shared" si="11"/>
        <v>3.5999999999999997E-2</v>
      </c>
      <c r="V24" s="1" t="e">
        <f>IF(OR(ISNUMBER(Table1[[#This Row],[TX Pdc (W)]]), ISNUMBER(Table1[[#This Row],[RX Pdc (W)]])),MAX(Table1[[#This Row],[TX Pdc (W)]],Table1[[#This Row],[RX Pdc (W)]])/Table1[[#This Row],[Array Aperture Size (cm2)]],"N/A")</f>
        <v>#VALUE!</v>
      </c>
      <c r="W24" s="1">
        <f>IF(OR(ISNUMBER(Table1[[#This Row],[TX Pdc (W)]]), ISNUMBER(Table1[[#This Row],[RX Pdc (W)]])),MAX(Table1[[#This Row],[TX Pdc (W)]],Table1[[#This Row],[RX Pdc (W)]])/(Table1[[#This Row],['# of Array Tile]]*Table1[[#This Row],['# of IC per Tile]])/(Table1[[#This Row],[Chip Size (mm2)]]*0.01),"N/A")</f>
        <v>4</v>
      </c>
      <c r="X24" s="23"/>
      <c r="Y24" s="1">
        <v>1</v>
      </c>
      <c r="Z24" s="1" t="s">
        <v>223</v>
      </c>
      <c r="AA24" s="1">
        <v>1</v>
      </c>
      <c r="AB24" s="1">
        <v>1</v>
      </c>
      <c r="AC24" s="1" t="s">
        <v>27</v>
      </c>
      <c r="AD24" s="1"/>
      <c r="AE24" s="1">
        <v>1</v>
      </c>
      <c r="AF24" s="1" t="s">
        <v>27</v>
      </c>
      <c r="AG24" s="1" t="s">
        <v>27</v>
      </c>
      <c r="AH24" s="1" t="e">
        <f t="shared" si="4"/>
        <v>#VALUE!</v>
      </c>
      <c r="AI24" s="1" t="e">
        <f t="shared" si="5"/>
        <v>#VALUE!</v>
      </c>
      <c r="AJ24" s="1">
        <v>1.2</v>
      </c>
      <c r="AK24" s="1">
        <v>0.75</v>
      </c>
      <c r="AL24" s="1">
        <f>Table1[[#This Row],[Chip Size -X (mm)]]*Table1[[#This Row],[Chip Size - Y (mm)]]</f>
        <v>0.89999999999999991</v>
      </c>
      <c r="AM24" s="1">
        <v>0.89</v>
      </c>
      <c r="AN24" s="1">
        <v>0.35</v>
      </c>
      <c r="AO24" s="1">
        <f t="shared" si="6"/>
        <v>0.623</v>
      </c>
      <c r="AP24" s="2"/>
      <c r="AQ24" s="1"/>
      <c r="AR24" s="1"/>
      <c r="AS24" s="1"/>
      <c r="AT24" s="1"/>
      <c r="AU24" s="1">
        <v>-0.5</v>
      </c>
      <c r="AV24" s="1"/>
      <c r="AW24" s="1">
        <v>36</v>
      </c>
      <c r="AX24" s="1"/>
    </row>
    <row r="25" spans="1:50" x14ac:dyDescent="0.2">
      <c r="A25" s="1" t="s">
        <v>54</v>
      </c>
      <c r="B25" s="1">
        <v>2017</v>
      </c>
      <c r="C25" s="1">
        <v>4</v>
      </c>
      <c r="D25" s="1" t="s">
        <v>55</v>
      </c>
      <c r="E25" s="29" t="s">
        <v>56</v>
      </c>
      <c r="F25" s="1" t="s">
        <v>26</v>
      </c>
      <c r="G25" s="1" t="s">
        <v>51</v>
      </c>
      <c r="H25" s="1">
        <v>45</v>
      </c>
      <c r="I25" s="1">
        <v>320</v>
      </c>
      <c r="J25" s="1">
        <f t="shared" si="7"/>
        <v>2</v>
      </c>
      <c r="K25" s="1" t="s">
        <v>27</v>
      </c>
      <c r="L25" s="1">
        <f t="shared" si="0"/>
        <v>1</v>
      </c>
      <c r="M25" s="1">
        <f t="shared" si="1"/>
        <v>1</v>
      </c>
      <c r="N25" s="1">
        <v>1</v>
      </c>
      <c r="O25" s="1">
        <v>1</v>
      </c>
      <c r="P25" s="1" t="s">
        <v>218</v>
      </c>
      <c r="Q25" s="1">
        <v>-11.6</v>
      </c>
      <c r="R25" s="1">
        <f t="shared" si="8"/>
        <v>1</v>
      </c>
      <c r="S25" s="25" t="str">
        <f t="shared" si="9"/>
        <v>N/A</v>
      </c>
      <c r="T25" s="1">
        <f t="shared" si="10"/>
        <v>1.8200000000000001E-2</v>
      </c>
      <c r="U25" s="1">
        <f t="shared" si="11"/>
        <v>3.1100000000000003E-2</v>
      </c>
      <c r="V25" s="1" t="e">
        <f>IF(OR(ISNUMBER(Table1[[#This Row],[TX Pdc (W)]]), ISNUMBER(Table1[[#This Row],[RX Pdc (W)]])),MAX(Table1[[#This Row],[TX Pdc (W)]],Table1[[#This Row],[RX Pdc (W)]])/Table1[[#This Row],[Array Aperture Size (cm2)]],"N/A")</f>
        <v>#VALUE!</v>
      </c>
      <c r="W25" s="1">
        <f>IF(OR(ISNUMBER(Table1[[#This Row],[TX Pdc (W)]]), ISNUMBER(Table1[[#This Row],[RX Pdc (W)]])),MAX(Table1[[#This Row],[TX Pdc (W)]],Table1[[#This Row],[RX Pdc (W)]])/(Table1[[#This Row],['# of Array Tile]]*Table1[[#This Row],['# of IC per Tile]])/(Table1[[#This Row],[Chip Size (mm2)]]*0.01),"N/A")</f>
        <v>5.4561403508771944</v>
      </c>
      <c r="X25" s="23"/>
      <c r="Y25" s="1">
        <v>1</v>
      </c>
      <c r="Z25" s="1" t="s">
        <v>27</v>
      </c>
      <c r="AA25" s="1">
        <v>1</v>
      </c>
      <c r="AB25" s="1">
        <v>1</v>
      </c>
      <c r="AC25" s="1" t="s">
        <v>309</v>
      </c>
      <c r="AD25" s="1">
        <v>1</v>
      </c>
      <c r="AE25" s="1">
        <v>1</v>
      </c>
      <c r="AF25" s="1" t="s">
        <v>27</v>
      </c>
      <c r="AG25" s="1" t="s">
        <v>27</v>
      </c>
      <c r="AH25" s="1" t="e">
        <f t="shared" si="4"/>
        <v>#VALUE!</v>
      </c>
      <c r="AI25" s="1" t="e">
        <f t="shared" si="5"/>
        <v>#VALUE!</v>
      </c>
      <c r="AJ25" s="1">
        <v>0.95</v>
      </c>
      <c r="AK25" s="1">
        <v>0.6</v>
      </c>
      <c r="AL25" s="1">
        <f>Table1[[#This Row],[Chip Size -X (mm)]]*Table1[[#This Row],[Chip Size - Y (mm)]]</f>
        <v>0.56999999999999995</v>
      </c>
      <c r="AM25" s="1">
        <v>0.84</v>
      </c>
      <c r="AN25" s="1">
        <v>0.49</v>
      </c>
      <c r="AO25" s="1">
        <f t="shared" si="6"/>
        <v>0.41159999999999997</v>
      </c>
      <c r="AP25" s="2"/>
      <c r="AQ25" s="1"/>
      <c r="AR25" s="1"/>
      <c r="AS25" s="1"/>
      <c r="AT25" s="1"/>
      <c r="AU25" s="1"/>
      <c r="AV25" s="1">
        <v>18.2</v>
      </c>
      <c r="AW25" s="1">
        <v>31.1</v>
      </c>
      <c r="AX25" s="1"/>
    </row>
    <row r="26" spans="1:50" x14ac:dyDescent="0.2">
      <c r="A26" s="1" t="s">
        <v>14</v>
      </c>
      <c r="B26" s="1">
        <v>2018</v>
      </c>
      <c r="C26" s="1">
        <v>2</v>
      </c>
      <c r="D26" s="1" t="s">
        <v>74</v>
      </c>
      <c r="E26" s="29" t="s">
        <v>73</v>
      </c>
      <c r="F26" s="1" t="s">
        <v>35</v>
      </c>
      <c r="G26" s="1" t="s">
        <v>20</v>
      </c>
      <c r="H26" s="1">
        <v>65</v>
      </c>
      <c r="I26" s="1">
        <v>70</v>
      </c>
      <c r="J26" s="1">
        <f t="shared" si="7"/>
        <v>2</v>
      </c>
      <c r="K26" s="1" t="s">
        <v>27</v>
      </c>
      <c r="L26" s="1">
        <f t="shared" si="0"/>
        <v>1</v>
      </c>
      <c r="M26" s="1">
        <f t="shared" si="1"/>
        <v>1</v>
      </c>
      <c r="N26" s="1">
        <v>1</v>
      </c>
      <c r="O26" s="1">
        <v>1</v>
      </c>
      <c r="P26" s="1" t="s">
        <v>222</v>
      </c>
      <c r="Q26" s="1"/>
      <c r="R26" s="1" t="str">
        <f t="shared" si="8"/>
        <v/>
      </c>
      <c r="S26" s="25" t="str">
        <f t="shared" si="9"/>
        <v>N/A</v>
      </c>
      <c r="T26" s="1">
        <f t="shared" si="10"/>
        <v>0.12</v>
      </c>
      <c r="U26" s="1">
        <f t="shared" si="11"/>
        <v>0.16</v>
      </c>
      <c r="V26" s="1" t="e">
        <f>IF(OR(ISNUMBER(Table1[[#This Row],[TX Pdc (W)]]), ISNUMBER(Table1[[#This Row],[RX Pdc (W)]])),MAX(Table1[[#This Row],[TX Pdc (W)]],Table1[[#This Row],[RX Pdc (W)]])/Table1[[#This Row],[Array Aperture Size (cm2)]],"N/A")</f>
        <v>#VALUE!</v>
      </c>
      <c r="W26" s="1">
        <f>IF(OR(ISNUMBER(Table1[[#This Row],[TX Pdc (W)]]), ISNUMBER(Table1[[#This Row],[RX Pdc (W)]])),MAX(Table1[[#This Row],[TX Pdc (W)]],Table1[[#This Row],[RX Pdc (W)]])/(Table1[[#This Row],['# of Array Tile]]*Table1[[#This Row],['# of IC per Tile]])/(Table1[[#This Row],[Chip Size (mm2)]]*0.01),"N/A")</f>
        <v>2.666666666666667</v>
      </c>
      <c r="X26" s="23"/>
      <c r="Y26" s="1">
        <v>1</v>
      </c>
      <c r="Z26" s="1" t="s">
        <v>27</v>
      </c>
      <c r="AA26" s="1" t="s">
        <v>27</v>
      </c>
      <c r="AB26" s="1">
        <v>1</v>
      </c>
      <c r="AC26" s="1" t="s">
        <v>310</v>
      </c>
      <c r="AD26" s="1">
        <v>1</v>
      </c>
      <c r="AE26" s="1">
        <v>1</v>
      </c>
      <c r="AF26" s="1" t="s">
        <v>27</v>
      </c>
      <c r="AG26" s="1" t="s">
        <v>27</v>
      </c>
      <c r="AH26" s="1" t="e">
        <f t="shared" si="4"/>
        <v>#VALUE!</v>
      </c>
      <c r="AI26" s="1" t="e">
        <f t="shared" si="5"/>
        <v>#VALUE!</v>
      </c>
      <c r="AJ26" s="1">
        <v>3</v>
      </c>
      <c r="AK26" s="1">
        <v>2</v>
      </c>
      <c r="AL26" s="1">
        <f>Table1[[#This Row],[Chip Size -X (mm)]]*Table1[[#This Row],[Chip Size - Y (mm)]]</f>
        <v>6</v>
      </c>
      <c r="AM26" s="1">
        <v>2.48</v>
      </c>
      <c r="AN26" s="1">
        <v>1.76</v>
      </c>
      <c r="AO26" s="1">
        <f t="shared" si="6"/>
        <v>4.3647999999999998</v>
      </c>
      <c r="AP26" s="2"/>
      <c r="AQ26" s="1"/>
      <c r="AR26" s="1"/>
      <c r="AS26" s="1"/>
      <c r="AT26" s="1"/>
      <c r="AU26" s="1"/>
      <c r="AV26" s="1">
        <v>120</v>
      </c>
      <c r="AW26" s="1">
        <v>160</v>
      </c>
      <c r="AX26" s="1"/>
    </row>
    <row r="27" spans="1:50" x14ac:dyDescent="0.2">
      <c r="A27" s="1" t="s">
        <v>14</v>
      </c>
      <c r="B27" s="1">
        <v>2018</v>
      </c>
      <c r="C27" s="1">
        <v>2</v>
      </c>
      <c r="D27" s="1" t="s">
        <v>74</v>
      </c>
      <c r="E27" s="29" t="s">
        <v>73</v>
      </c>
      <c r="F27" s="1" t="s">
        <v>35</v>
      </c>
      <c r="G27" s="1" t="s">
        <v>20</v>
      </c>
      <c r="H27" s="1">
        <v>65</v>
      </c>
      <c r="I27" s="1">
        <v>105</v>
      </c>
      <c r="J27" s="1">
        <f t="shared" si="7"/>
        <v>2</v>
      </c>
      <c r="K27" s="1" t="s">
        <v>27</v>
      </c>
      <c r="L27" s="1">
        <f t="shared" si="0"/>
        <v>1</v>
      </c>
      <c r="M27" s="1">
        <f t="shared" si="1"/>
        <v>1</v>
      </c>
      <c r="N27" s="1">
        <v>1</v>
      </c>
      <c r="O27" s="1">
        <v>1</v>
      </c>
      <c r="P27" s="1" t="s">
        <v>222</v>
      </c>
      <c r="Q27" s="1"/>
      <c r="R27" s="1" t="str">
        <f t="shared" si="8"/>
        <v/>
      </c>
      <c r="S27" s="25">
        <f t="shared" si="9"/>
        <v>-1.9000000000000006</v>
      </c>
      <c r="T27" s="1">
        <f t="shared" si="10"/>
        <v>0.12</v>
      </c>
      <c r="U27" s="1">
        <f t="shared" si="11"/>
        <v>0.16</v>
      </c>
      <c r="V27" s="1" t="e">
        <f>IF(OR(ISNUMBER(Table1[[#This Row],[TX Pdc (W)]]), ISNUMBER(Table1[[#This Row],[RX Pdc (W)]])),MAX(Table1[[#This Row],[TX Pdc (W)]],Table1[[#This Row],[RX Pdc (W)]])/Table1[[#This Row],[Array Aperture Size (cm2)]],"N/A")</f>
        <v>#VALUE!</v>
      </c>
      <c r="W27" s="1">
        <f>IF(OR(ISNUMBER(Table1[[#This Row],[TX Pdc (W)]]), ISNUMBER(Table1[[#This Row],[RX Pdc (W)]])),MAX(Table1[[#This Row],[TX Pdc (W)]],Table1[[#This Row],[RX Pdc (W)]])/(Table1[[#This Row],['# of Array Tile]]*Table1[[#This Row],['# of IC per Tile]])/(Table1[[#This Row],[Chip Size (mm2)]]*0.01),"N/A")</f>
        <v>2.666666666666667</v>
      </c>
      <c r="X27" s="23"/>
      <c r="Y27" s="1">
        <v>1</v>
      </c>
      <c r="Z27" s="1" t="s">
        <v>27</v>
      </c>
      <c r="AA27" s="1" t="s">
        <v>27</v>
      </c>
      <c r="AB27" s="1">
        <v>1</v>
      </c>
      <c r="AC27" s="1" t="s">
        <v>310</v>
      </c>
      <c r="AD27" s="1">
        <v>1</v>
      </c>
      <c r="AE27" s="1">
        <v>1</v>
      </c>
      <c r="AF27" s="1" t="s">
        <v>27</v>
      </c>
      <c r="AG27" s="1" t="s">
        <v>27</v>
      </c>
      <c r="AH27" s="1" t="e">
        <f t="shared" si="4"/>
        <v>#VALUE!</v>
      </c>
      <c r="AI27" s="1" t="e">
        <f t="shared" si="5"/>
        <v>#VALUE!</v>
      </c>
      <c r="AJ27" s="1">
        <v>3</v>
      </c>
      <c r="AK27" s="1">
        <v>2</v>
      </c>
      <c r="AL27" s="1">
        <f>Table1[[#This Row],[Chip Size -X (mm)]]*Table1[[#This Row],[Chip Size - Y (mm)]]</f>
        <v>6</v>
      </c>
      <c r="AM27" s="1">
        <v>2.48</v>
      </c>
      <c r="AN27" s="1">
        <v>1.76</v>
      </c>
      <c r="AO27" s="1">
        <f t="shared" si="6"/>
        <v>4.3647999999999998</v>
      </c>
      <c r="AP27" s="2"/>
      <c r="AQ27" s="1">
        <v>-1.9</v>
      </c>
      <c r="AR27" s="1"/>
      <c r="AS27" s="1"/>
      <c r="AT27" s="1"/>
      <c r="AU27" s="1"/>
      <c r="AV27" s="1">
        <v>120</v>
      </c>
      <c r="AW27" s="1">
        <v>160</v>
      </c>
      <c r="AX27" s="1"/>
    </row>
    <row r="28" spans="1:50" x14ac:dyDescent="0.2">
      <c r="A28" s="1" t="s">
        <v>14</v>
      </c>
      <c r="B28" s="1">
        <v>2018</v>
      </c>
      <c r="C28" s="1">
        <v>2</v>
      </c>
      <c r="D28" s="1" t="s">
        <v>88</v>
      </c>
      <c r="E28" s="29" t="s">
        <v>92</v>
      </c>
      <c r="F28" s="1" t="s">
        <v>33</v>
      </c>
      <c r="G28" s="1" t="s">
        <v>51</v>
      </c>
      <c r="H28" s="1">
        <v>45</v>
      </c>
      <c r="I28" s="1">
        <v>23</v>
      </c>
      <c r="J28" s="1">
        <f t="shared" si="7"/>
        <v>8</v>
      </c>
      <c r="K28" s="1">
        <v>2</v>
      </c>
      <c r="L28" s="1">
        <f t="shared" si="0"/>
        <v>0</v>
      </c>
      <c r="M28" s="1">
        <f t="shared" si="1"/>
        <v>8</v>
      </c>
      <c r="N28" s="1"/>
      <c r="O28" s="1">
        <v>1</v>
      </c>
      <c r="P28" s="1" t="s">
        <v>222</v>
      </c>
      <c r="Q28" s="1"/>
      <c r="R28" s="1" t="str">
        <f t="shared" si="8"/>
        <v/>
      </c>
      <c r="S28" s="25" t="str">
        <f t="shared" si="9"/>
        <v>N/A</v>
      </c>
      <c r="T28" s="1" t="str">
        <f t="shared" si="10"/>
        <v>N/A</v>
      </c>
      <c r="U28" s="1">
        <f t="shared" si="11"/>
        <v>0.56000000000000005</v>
      </c>
      <c r="V28" s="1" t="e">
        <f>IF(OR(ISNUMBER(Table1[[#This Row],[TX Pdc (W)]]), ISNUMBER(Table1[[#This Row],[RX Pdc (W)]])),MAX(Table1[[#This Row],[TX Pdc (W)]],Table1[[#This Row],[RX Pdc (W)]])/Table1[[#This Row],[Array Aperture Size (cm2)]],"N/A")</f>
        <v>#VALUE!</v>
      </c>
      <c r="W28" s="1">
        <f>IF(OR(ISNUMBER(Table1[[#This Row],[TX Pdc (W)]]), ISNUMBER(Table1[[#This Row],[RX Pdc (W)]])),MAX(Table1[[#This Row],[TX Pdc (W)]],Table1[[#This Row],[RX Pdc (W)]])/(Table1[[#This Row],['# of Array Tile]]*Table1[[#This Row],['# of IC per Tile]])/(Table1[[#This Row],[Chip Size (mm2)]]*0.01),"N/A")</f>
        <v>2.5925925925925926</v>
      </c>
      <c r="X28" s="23"/>
      <c r="Y28" s="1">
        <v>1</v>
      </c>
      <c r="Z28" s="1" t="s">
        <v>27</v>
      </c>
      <c r="AA28" s="1" t="s">
        <v>27</v>
      </c>
      <c r="AB28" s="1">
        <v>1</v>
      </c>
      <c r="AC28" s="1" t="s">
        <v>27</v>
      </c>
      <c r="AD28" s="1"/>
      <c r="AE28" s="1">
        <v>8</v>
      </c>
      <c r="AF28" s="1" t="s">
        <v>27</v>
      </c>
      <c r="AG28" s="1" t="s">
        <v>27</v>
      </c>
      <c r="AH28" s="1" t="e">
        <f t="shared" si="4"/>
        <v>#VALUE!</v>
      </c>
      <c r="AI28" s="1" t="e">
        <f t="shared" si="5"/>
        <v>#VALUE!</v>
      </c>
      <c r="AJ28" s="1">
        <v>3.6</v>
      </c>
      <c r="AK28" s="1">
        <v>6</v>
      </c>
      <c r="AL28" s="1">
        <f>Table1[[#This Row],[Chip Size -X (mm)]]*Table1[[#This Row],[Chip Size - Y (mm)]]</f>
        <v>21.6</v>
      </c>
      <c r="AM28" s="1">
        <v>3.06</v>
      </c>
      <c r="AN28" s="1">
        <v>5.62</v>
      </c>
      <c r="AO28" s="1">
        <f t="shared" si="6"/>
        <v>4.2993000000000006</v>
      </c>
      <c r="AP28" s="2"/>
      <c r="AQ28" s="1"/>
      <c r="AR28" s="1"/>
      <c r="AS28" s="1"/>
      <c r="AT28" s="1">
        <v>5.9</v>
      </c>
      <c r="AU28" s="1">
        <v>33</v>
      </c>
      <c r="AV28" s="1"/>
      <c r="AW28" s="1">
        <v>70</v>
      </c>
      <c r="AX28" s="1"/>
    </row>
    <row r="29" spans="1:50" x14ac:dyDescent="0.2">
      <c r="A29" s="1" t="s">
        <v>14</v>
      </c>
      <c r="B29" s="1">
        <v>2018</v>
      </c>
      <c r="C29" s="1">
        <v>2</v>
      </c>
      <c r="D29" s="1" t="s">
        <v>88</v>
      </c>
      <c r="E29" s="29" t="s">
        <v>92</v>
      </c>
      <c r="F29" s="1" t="s">
        <v>33</v>
      </c>
      <c r="G29" s="1" t="s">
        <v>51</v>
      </c>
      <c r="H29" s="1">
        <v>45</v>
      </c>
      <c r="I29" s="1">
        <v>30</v>
      </c>
      <c r="J29" s="1">
        <f t="shared" si="7"/>
        <v>8</v>
      </c>
      <c r="K29" s="1">
        <v>2</v>
      </c>
      <c r="L29" s="1">
        <f t="shared" si="0"/>
        <v>0</v>
      </c>
      <c r="M29" s="1">
        <f t="shared" si="1"/>
        <v>8</v>
      </c>
      <c r="N29" s="1"/>
      <c r="O29" s="1">
        <v>1</v>
      </c>
      <c r="P29" s="1" t="s">
        <v>222</v>
      </c>
      <c r="Q29" s="1"/>
      <c r="R29" s="1" t="str">
        <f t="shared" si="8"/>
        <v/>
      </c>
      <c r="S29" s="25" t="str">
        <f t="shared" si="9"/>
        <v>N/A</v>
      </c>
      <c r="T29" s="1" t="str">
        <f t="shared" si="10"/>
        <v>N/A</v>
      </c>
      <c r="U29" s="1">
        <f t="shared" si="11"/>
        <v>0.56000000000000005</v>
      </c>
      <c r="V29" s="1" t="e">
        <f>IF(OR(ISNUMBER(Table1[[#This Row],[TX Pdc (W)]]), ISNUMBER(Table1[[#This Row],[RX Pdc (W)]])),MAX(Table1[[#This Row],[TX Pdc (W)]],Table1[[#This Row],[RX Pdc (W)]])/Table1[[#This Row],[Array Aperture Size (cm2)]],"N/A")</f>
        <v>#VALUE!</v>
      </c>
      <c r="W29" s="1">
        <f>IF(OR(ISNUMBER(Table1[[#This Row],[TX Pdc (W)]]), ISNUMBER(Table1[[#This Row],[RX Pdc (W)]])),MAX(Table1[[#This Row],[TX Pdc (W)]],Table1[[#This Row],[RX Pdc (W)]])/(Table1[[#This Row],['# of Array Tile]]*Table1[[#This Row],['# of IC per Tile]])/(Table1[[#This Row],[Chip Size (mm2)]]*0.01),"N/A")</f>
        <v>2.5925925925925926</v>
      </c>
      <c r="X29" s="23"/>
      <c r="Y29" s="1">
        <v>1</v>
      </c>
      <c r="Z29" s="1" t="s">
        <v>27</v>
      </c>
      <c r="AA29" s="1" t="s">
        <v>27</v>
      </c>
      <c r="AB29" s="1">
        <v>1</v>
      </c>
      <c r="AC29" s="1" t="s">
        <v>27</v>
      </c>
      <c r="AD29" s="1"/>
      <c r="AE29" s="1">
        <v>8</v>
      </c>
      <c r="AF29" s="1" t="s">
        <v>27</v>
      </c>
      <c r="AG29" s="1" t="s">
        <v>27</v>
      </c>
      <c r="AH29" s="1" t="e">
        <f t="shared" si="4"/>
        <v>#VALUE!</v>
      </c>
      <c r="AI29" s="1" t="e">
        <f t="shared" si="5"/>
        <v>#VALUE!</v>
      </c>
      <c r="AJ29" s="1">
        <v>3.6</v>
      </c>
      <c r="AK29" s="1">
        <v>6</v>
      </c>
      <c r="AL29" s="1">
        <f>Table1[[#This Row],[Chip Size -X (mm)]]*Table1[[#This Row],[Chip Size - Y (mm)]]</f>
        <v>21.6</v>
      </c>
      <c r="AM29" s="1">
        <v>3.06</v>
      </c>
      <c r="AN29" s="1">
        <v>5.62</v>
      </c>
      <c r="AO29" s="1">
        <f t="shared" si="6"/>
        <v>4.2993000000000006</v>
      </c>
      <c r="AP29" s="2"/>
      <c r="AQ29" s="1"/>
      <c r="AR29" s="1"/>
      <c r="AS29" s="1"/>
      <c r="AT29" s="1">
        <v>6.26</v>
      </c>
      <c r="AU29" s="1">
        <v>33</v>
      </c>
      <c r="AV29" s="1"/>
      <c r="AW29" s="1">
        <v>70</v>
      </c>
      <c r="AX29" s="1"/>
    </row>
    <row r="30" spans="1:50" x14ac:dyDescent="0.2">
      <c r="A30" s="1" t="s">
        <v>14</v>
      </c>
      <c r="B30" s="1">
        <v>2018</v>
      </c>
      <c r="C30" s="1">
        <v>2</v>
      </c>
      <c r="D30" s="1" t="s">
        <v>100</v>
      </c>
      <c r="E30" s="29" t="s">
        <v>99</v>
      </c>
      <c r="F30" s="1" t="s">
        <v>35</v>
      </c>
      <c r="G30" s="1" t="s">
        <v>20</v>
      </c>
      <c r="H30" s="1">
        <v>28</v>
      </c>
      <c r="I30" s="1">
        <v>28</v>
      </c>
      <c r="J30" s="1">
        <f t="shared" si="7"/>
        <v>48</v>
      </c>
      <c r="K30" s="1">
        <v>2</v>
      </c>
      <c r="L30" s="1">
        <f t="shared" si="0"/>
        <v>24</v>
      </c>
      <c r="M30" s="1">
        <f t="shared" si="1"/>
        <v>24</v>
      </c>
      <c r="N30" s="1">
        <v>2</v>
      </c>
      <c r="O30" s="1">
        <v>2</v>
      </c>
      <c r="P30" s="1" t="s">
        <v>223</v>
      </c>
      <c r="Q30" s="1">
        <v>35</v>
      </c>
      <c r="R30" s="1">
        <f t="shared" si="8"/>
        <v>8</v>
      </c>
      <c r="S30" s="25">
        <f t="shared" si="9"/>
        <v>27.802112417116057</v>
      </c>
      <c r="T30" s="1">
        <f t="shared" si="10"/>
        <v>2.16</v>
      </c>
      <c r="U30" s="1">
        <f t="shared" si="11"/>
        <v>1.008</v>
      </c>
      <c r="V30" s="1" t="e">
        <f>IF(OR(ISNUMBER(Table1[[#This Row],[TX Pdc (W)]]), ISNUMBER(Table1[[#This Row],[RX Pdc (W)]])),MAX(Table1[[#This Row],[TX Pdc (W)]],Table1[[#This Row],[RX Pdc (W)]])/Table1[[#This Row],[Array Aperture Size (cm2)]],"N/A")</f>
        <v>#VALUE!</v>
      </c>
      <c r="W30" s="1">
        <f>IF(OR(ISNUMBER(Table1[[#This Row],[TX Pdc (W)]]), ISNUMBER(Table1[[#This Row],[RX Pdc (W)]])),MAX(Table1[[#This Row],[TX Pdc (W)]],Table1[[#This Row],[RX Pdc (W)]])/(Table1[[#This Row],['# of Array Tile]]*Table1[[#This Row],['# of IC per Tile]])/(Table1[[#This Row],[Chip Size (mm2)]]*0.01),"N/A")</f>
        <v>3.8904198411411901</v>
      </c>
      <c r="X30" s="23"/>
      <c r="Y30" s="1">
        <v>1</v>
      </c>
      <c r="Z30" s="1" t="s">
        <v>223</v>
      </c>
      <c r="AA30" s="1">
        <v>8</v>
      </c>
      <c r="AB30" s="1">
        <v>2</v>
      </c>
      <c r="AC30" s="1" t="s">
        <v>309</v>
      </c>
      <c r="AD30" s="1">
        <v>12</v>
      </c>
      <c r="AE30" s="1">
        <v>12</v>
      </c>
      <c r="AF30" s="1" t="s">
        <v>27</v>
      </c>
      <c r="AG30" s="1" t="s">
        <v>27</v>
      </c>
      <c r="AH30" s="1" t="e">
        <f t="shared" si="4"/>
        <v>#VALUE!</v>
      </c>
      <c r="AI30" s="1" t="e">
        <f t="shared" si="5"/>
        <v>#VALUE!</v>
      </c>
      <c r="AJ30" s="1">
        <v>5.97</v>
      </c>
      <c r="AK30" s="1">
        <v>4.6500000000000004</v>
      </c>
      <c r="AL30" s="1">
        <f>Table1[[#This Row],[Chip Size -X (mm)]]*Table1[[#This Row],[Chip Size - Y (mm)]]</f>
        <v>27.7605</v>
      </c>
      <c r="AM30" s="1">
        <v>5.84</v>
      </c>
      <c r="AN30" s="1">
        <v>4.68</v>
      </c>
      <c r="AO30" s="1">
        <f t="shared" si="6"/>
        <v>2.2776000000000001</v>
      </c>
      <c r="AP30" s="2"/>
      <c r="AQ30" s="1">
        <v>14</v>
      </c>
      <c r="AR30" s="1"/>
      <c r="AS30" s="1">
        <v>44</v>
      </c>
      <c r="AT30" s="1">
        <v>4.4000000000000004</v>
      </c>
      <c r="AU30" s="1">
        <v>34</v>
      </c>
      <c r="AV30" s="1">
        <v>90</v>
      </c>
      <c r="AW30" s="1">
        <v>42</v>
      </c>
      <c r="AX30" s="1"/>
    </row>
    <row r="31" spans="1:50" x14ac:dyDescent="0.2">
      <c r="A31" s="1" t="s">
        <v>14</v>
      </c>
      <c r="B31" s="1">
        <v>2018</v>
      </c>
      <c r="C31" s="1">
        <v>2</v>
      </c>
      <c r="D31" s="1" t="s">
        <v>86</v>
      </c>
      <c r="E31" s="29" t="s">
        <v>85</v>
      </c>
      <c r="F31" s="1" t="s">
        <v>35</v>
      </c>
      <c r="G31" s="1" t="s">
        <v>20</v>
      </c>
      <c r="H31" s="1">
        <v>40</v>
      </c>
      <c r="I31" s="1">
        <v>60</v>
      </c>
      <c r="J31" s="1">
        <f t="shared" si="7"/>
        <v>288</v>
      </c>
      <c r="K31" s="1">
        <v>2</v>
      </c>
      <c r="L31" s="1">
        <f t="shared" si="0"/>
        <v>144</v>
      </c>
      <c r="M31" s="1">
        <f t="shared" si="1"/>
        <v>144</v>
      </c>
      <c r="N31" s="1">
        <v>1</v>
      </c>
      <c r="O31" s="1">
        <v>1</v>
      </c>
      <c r="P31" s="1" t="s">
        <v>224</v>
      </c>
      <c r="Q31" s="1">
        <v>51</v>
      </c>
      <c r="R31" s="1">
        <f t="shared" si="8"/>
        <v>144</v>
      </c>
      <c r="S31" s="25">
        <f t="shared" si="9"/>
        <v>21.583624920952499</v>
      </c>
      <c r="T31" s="1">
        <v>8.4</v>
      </c>
      <c r="U31" s="1">
        <v>6.6</v>
      </c>
      <c r="V31" s="1">
        <f>IF(OR(ISNUMBER(Table1[[#This Row],[TX Pdc (W)]]), ISNUMBER(Table1[[#This Row],[RX Pdc (W)]])),MAX(Table1[[#This Row],[TX Pdc (W)]],Table1[[#This Row],[RX Pdc (W)]])/Table1[[#This Row],[Array Aperture Size (cm2)]],"N/A")</f>
        <v>0.44326241134751765</v>
      </c>
      <c r="W31" s="1">
        <f>IF(OR(ISNUMBER(Table1[[#This Row],[TX Pdc (W)]]), ISNUMBER(Table1[[#This Row],[RX Pdc (W)]])),MAX(Table1[[#This Row],[TX Pdc (W)]],Table1[[#This Row],[RX Pdc (W)]])/(Table1[[#This Row],['# of Array Tile]]*Table1[[#This Row],['# of IC per Tile]])/(Table1[[#This Row],[Chip Size (mm2)]]*0.01),"N/A")</f>
        <v>0.23972602739726032</v>
      </c>
      <c r="X31" s="23"/>
      <c r="Y31" s="1">
        <v>6</v>
      </c>
      <c r="Z31" s="1" t="s">
        <v>226</v>
      </c>
      <c r="AA31" s="1">
        <v>24</v>
      </c>
      <c r="AB31" s="1">
        <v>2</v>
      </c>
      <c r="AC31" s="1" t="s">
        <v>309</v>
      </c>
      <c r="AD31" s="1">
        <v>12</v>
      </c>
      <c r="AE31" s="1">
        <v>12</v>
      </c>
      <c r="AF31" s="1">
        <v>4.2300000000000004</v>
      </c>
      <c r="AG31" s="1">
        <v>4.4800000000000004</v>
      </c>
      <c r="AH31" s="1">
        <f t="shared" si="4"/>
        <v>18.950400000000005</v>
      </c>
      <c r="AI31" s="1">
        <f t="shared" si="5"/>
        <v>13.160000000000004</v>
      </c>
      <c r="AJ31" s="1">
        <v>4.68</v>
      </c>
      <c r="AK31" s="1">
        <v>4.68</v>
      </c>
      <c r="AL31" s="1">
        <v>292</v>
      </c>
      <c r="AM31" s="1">
        <v>3.57</v>
      </c>
      <c r="AN31" s="1">
        <v>4.17</v>
      </c>
      <c r="AO31" s="1">
        <f t="shared" si="6"/>
        <v>1.240575</v>
      </c>
      <c r="AP31" s="2"/>
      <c r="AQ31" s="1">
        <v>0</v>
      </c>
      <c r="AR31" s="1"/>
      <c r="AS31" s="1"/>
      <c r="AT31" s="1">
        <v>7</v>
      </c>
      <c r="AU31" s="1"/>
      <c r="AV31" s="1"/>
      <c r="AW31" s="1"/>
      <c r="AX31" s="1" t="s">
        <v>311</v>
      </c>
    </row>
    <row r="32" spans="1:50" x14ac:dyDescent="0.2">
      <c r="A32" s="1" t="s">
        <v>14</v>
      </c>
      <c r="B32" s="1">
        <v>2018</v>
      </c>
      <c r="C32" s="1">
        <v>2</v>
      </c>
      <c r="D32" s="1" t="s">
        <v>79</v>
      </c>
      <c r="E32" s="29" t="s">
        <v>80</v>
      </c>
      <c r="F32" s="1" t="s">
        <v>35</v>
      </c>
      <c r="G32" s="1" t="s">
        <v>17</v>
      </c>
      <c r="H32" s="1">
        <v>180</v>
      </c>
      <c r="I32" s="1">
        <v>80</v>
      </c>
      <c r="J32" s="1">
        <f t="shared" si="7"/>
        <v>24</v>
      </c>
      <c r="K32" s="1">
        <v>2</v>
      </c>
      <c r="L32" s="1">
        <f t="shared" si="0"/>
        <v>16</v>
      </c>
      <c r="M32" s="1">
        <f t="shared" si="1"/>
        <v>8</v>
      </c>
      <c r="N32" s="1">
        <v>1</v>
      </c>
      <c r="O32" s="1">
        <v>1</v>
      </c>
      <c r="P32" s="1" t="s">
        <v>224</v>
      </c>
      <c r="Q32" s="1"/>
      <c r="R32" s="1" t="str">
        <f t="shared" si="8"/>
        <v/>
      </c>
      <c r="S32" s="25" t="str">
        <f t="shared" si="9"/>
        <v>N/A</v>
      </c>
      <c r="T32" s="1">
        <f t="shared" ref="T32:T47" si="12">IF(AV32="","N/A",AV32*AD32*AB32*Y32/1000)</f>
        <v>4.4000000000000004</v>
      </c>
      <c r="U32" s="1">
        <f t="shared" ref="U32:U73" si="13">IF(AW32="","N/A",AW32*AE32*AB32*Y32/1000)</f>
        <v>1.8</v>
      </c>
      <c r="V32" s="1">
        <f>IF(OR(ISNUMBER(Table1[[#This Row],[TX Pdc (W)]]), ISNUMBER(Table1[[#This Row],[RX Pdc (W)]])),MAX(Table1[[#This Row],[TX Pdc (W)]],Table1[[#This Row],[RX Pdc (W)]])/Table1[[#This Row],[Array Aperture Size (cm2)]],"N/A")</f>
        <v>4.2709116940474185</v>
      </c>
      <c r="W32" s="1">
        <f>IF(OR(ISNUMBER(Table1[[#This Row],[TX Pdc (W)]]), ISNUMBER(Table1[[#This Row],[RX Pdc (W)]])),MAX(Table1[[#This Row],[TX Pdc (W)]],Table1[[#This Row],[RX Pdc (W)]])/(Table1[[#This Row],['# of Array Tile]]*Table1[[#This Row],['# of IC per Tile]])/(Table1[[#This Row],[Chip Size (mm2)]]*0.01),"N/A")</f>
        <v>12.5</v>
      </c>
      <c r="X32" s="23"/>
      <c r="Y32" s="1">
        <v>1</v>
      </c>
      <c r="Z32" s="1" t="s">
        <v>227</v>
      </c>
      <c r="AA32" s="1">
        <v>24</v>
      </c>
      <c r="AB32" s="1">
        <v>1</v>
      </c>
      <c r="AC32" s="1" t="s">
        <v>310</v>
      </c>
      <c r="AD32" s="1">
        <v>16</v>
      </c>
      <c r="AE32" s="1">
        <v>8</v>
      </c>
      <c r="AF32" s="1">
        <v>1.0149999999999999</v>
      </c>
      <c r="AG32" s="1">
        <v>1.0149999999999999</v>
      </c>
      <c r="AH32" s="1">
        <f t="shared" si="4"/>
        <v>1.0302249999999997</v>
      </c>
      <c r="AI32" s="1">
        <f t="shared" si="5"/>
        <v>4.2926041666666661</v>
      </c>
      <c r="AJ32" s="1">
        <v>4.4000000000000004</v>
      </c>
      <c r="AK32" s="1">
        <v>8</v>
      </c>
      <c r="AL32" s="1">
        <f>Table1[[#This Row],[Chip Size -X (mm)]]*Table1[[#This Row],[Chip Size - Y (mm)]]</f>
        <v>35.200000000000003</v>
      </c>
      <c r="AM32" s="1">
        <v>4.2</v>
      </c>
      <c r="AN32" s="1">
        <v>7.6</v>
      </c>
      <c r="AO32" s="1">
        <f t="shared" si="6"/>
        <v>2.6599999999999997</v>
      </c>
      <c r="AP32" s="2"/>
      <c r="AQ32" s="1"/>
      <c r="AR32" s="1"/>
      <c r="AS32" s="1"/>
      <c r="AT32" s="1"/>
      <c r="AU32" s="1"/>
      <c r="AV32" s="1">
        <v>275</v>
      </c>
      <c r="AW32" s="1">
        <v>225</v>
      </c>
      <c r="AX32" s="1"/>
    </row>
    <row r="33" spans="1:50" x14ac:dyDescent="0.2">
      <c r="A33" s="1" t="s">
        <v>14</v>
      </c>
      <c r="B33" s="1">
        <v>2018</v>
      </c>
      <c r="C33" s="1">
        <v>2</v>
      </c>
      <c r="D33" s="1" t="s">
        <v>79</v>
      </c>
      <c r="E33" s="29" t="s">
        <v>80</v>
      </c>
      <c r="F33" s="1" t="s">
        <v>35</v>
      </c>
      <c r="G33" s="1" t="s">
        <v>17</v>
      </c>
      <c r="H33" s="1">
        <v>180</v>
      </c>
      <c r="I33" s="1">
        <v>90</v>
      </c>
      <c r="J33" s="1">
        <f t="shared" si="7"/>
        <v>24</v>
      </c>
      <c r="K33" s="1">
        <v>2</v>
      </c>
      <c r="L33" s="1">
        <f t="shared" si="0"/>
        <v>16</v>
      </c>
      <c r="M33" s="1">
        <f t="shared" si="1"/>
        <v>8</v>
      </c>
      <c r="N33" s="1">
        <v>1</v>
      </c>
      <c r="O33" s="1">
        <v>1</v>
      </c>
      <c r="P33" s="1" t="s">
        <v>224</v>
      </c>
      <c r="Q33" s="1"/>
      <c r="R33" s="1" t="str">
        <f t="shared" si="8"/>
        <v/>
      </c>
      <c r="S33" s="25">
        <f t="shared" si="9"/>
        <v>20.04119982655925</v>
      </c>
      <c r="T33" s="1">
        <f t="shared" si="12"/>
        <v>4.4000000000000004</v>
      </c>
      <c r="U33" s="1">
        <f t="shared" si="13"/>
        <v>1.8</v>
      </c>
      <c r="V33" s="1">
        <f>IF(OR(ISNUMBER(Table1[[#This Row],[TX Pdc (W)]]), ISNUMBER(Table1[[#This Row],[RX Pdc (W)]])),MAX(Table1[[#This Row],[TX Pdc (W)]],Table1[[#This Row],[RX Pdc (W)]])/Table1[[#This Row],[Array Aperture Size (cm2)]],"N/A")</f>
        <v>4.2709116940474185</v>
      </c>
      <c r="W33" s="1">
        <f>IF(OR(ISNUMBER(Table1[[#This Row],[TX Pdc (W)]]), ISNUMBER(Table1[[#This Row],[RX Pdc (W)]])),MAX(Table1[[#This Row],[TX Pdc (W)]],Table1[[#This Row],[RX Pdc (W)]])/(Table1[[#This Row],['# of Array Tile]]*Table1[[#This Row],['# of IC per Tile]])/(Table1[[#This Row],[Chip Size (mm2)]]*0.01),"N/A")</f>
        <v>12.5</v>
      </c>
      <c r="X33" s="23"/>
      <c r="Y33" s="1">
        <v>1</v>
      </c>
      <c r="Z33" s="1" t="s">
        <v>227</v>
      </c>
      <c r="AA33" s="1">
        <v>24</v>
      </c>
      <c r="AB33" s="1">
        <v>1</v>
      </c>
      <c r="AC33" s="1" t="s">
        <v>310</v>
      </c>
      <c r="AD33" s="1">
        <v>16</v>
      </c>
      <c r="AE33" s="1">
        <v>8</v>
      </c>
      <c r="AF33" s="1">
        <v>1.0149999999999999</v>
      </c>
      <c r="AG33" s="1">
        <v>1.0149999999999999</v>
      </c>
      <c r="AH33" s="1">
        <f t="shared" si="4"/>
        <v>1.0302249999999997</v>
      </c>
      <c r="AI33" s="1">
        <f t="shared" si="5"/>
        <v>4.2926041666666661</v>
      </c>
      <c r="AJ33" s="1">
        <v>4.4000000000000004</v>
      </c>
      <c r="AK33" s="1">
        <v>8</v>
      </c>
      <c r="AL33" s="1">
        <f>Table1[[#This Row],[Chip Size -X (mm)]]*Table1[[#This Row],[Chip Size - Y (mm)]]</f>
        <v>35.200000000000003</v>
      </c>
      <c r="AM33" s="1">
        <v>4.2</v>
      </c>
      <c r="AN33" s="1">
        <v>7.6</v>
      </c>
      <c r="AO33" s="1">
        <f t="shared" si="6"/>
        <v>2.6599999999999997</v>
      </c>
      <c r="AP33" s="2"/>
      <c r="AQ33" s="1">
        <v>8</v>
      </c>
      <c r="AR33" s="1"/>
      <c r="AS33" s="1"/>
      <c r="AT33" s="1">
        <v>8</v>
      </c>
      <c r="AU33" s="1">
        <v>80</v>
      </c>
      <c r="AV33" s="1">
        <v>275</v>
      </c>
      <c r="AW33" s="1">
        <v>225</v>
      </c>
      <c r="AX33" s="1"/>
    </row>
    <row r="34" spans="1:50" x14ac:dyDescent="0.2">
      <c r="A34" s="1" t="s">
        <v>284</v>
      </c>
      <c r="B34" s="1">
        <v>2018</v>
      </c>
      <c r="C34" s="1">
        <v>4</v>
      </c>
      <c r="D34" s="1" t="s">
        <v>283</v>
      </c>
      <c r="E34" s="29" t="s">
        <v>282</v>
      </c>
      <c r="F34" s="1" t="s">
        <v>151</v>
      </c>
      <c r="G34" s="1"/>
      <c r="H34" s="1"/>
      <c r="I34" s="1">
        <v>60</v>
      </c>
      <c r="J34" s="1"/>
      <c r="K34" s="1">
        <v>2</v>
      </c>
      <c r="L34" s="1">
        <f t="shared" ref="L34:L65" si="14">AD34*AB34*Y34</f>
        <v>0</v>
      </c>
      <c r="M34" s="1">
        <f t="shared" ref="M34:M65" si="15">AE34*AB34*Y34</f>
        <v>0</v>
      </c>
      <c r="N34" s="1">
        <v>1</v>
      </c>
      <c r="O34" s="1">
        <v>1</v>
      </c>
      <c r="P34" s="1" t="s">
        <v>223</v>
      </c>
      <c r="Q34" s="1"/>
      <c r="R34" s="1" t="str">
        <f t="shared" si="8"/>
        <v/>
      </c>
      <c r="S34" s="25" t="str">
        <f t="shared" si="9"/>
        <v>N/A</v>
      </c>
      <c r="T34" s="1" t="str">
        <f t="shared" si="12"/>
        <v>N/A</v>
      </c>
      <c r="U34" s="1" t="str">
        <f t="shared" si="13"/>
        <v>N/A</v>
      </c>
      <c r="V34" s="1" t="str">
        <f>IF(OR(ISNUMBER(Table1[[#This Row],[TX Pdc (W)]]), ISNUMBER(Table1[[#This Row],[RX Pdc (W)]])),MAX(Table1[[#This Row],[TX Pdc (W)]],Table1[[#This Row],[RX Pdc (W)]])/Table1[[#This Row],[Array Aperture Size (cm2)]],"N/A")</f>
        <v>N/A</v>
      </c>
      <c r="W34" s="1" t="str">
        <f>IF(OR(ISNUMBER(Table1[[#This Row],[TX Pdc (W)]]), ISNUMBER(Table1[[#This Row],[RX Pdc (W)]])),MAX(Table1[[#This Row],[TX Pdc (W)]],Table1[[#This Row],[RX Pdc (W)]])/(Table1[[#This Row],['# of Array Tile]]*Table1[[#This Row],['# of IC per Tile]])/(Table1[[#This Row],[Chip Size (mm2)]]*0.01),"N/A")</f>
        <v>N/A</v>
      </c>
      <c r="X34" s="23"/>
      <c r="Y34" s="1">
        <v>1</v>
      </c>
      <c r="Z34" s="1" t="s">
        <v>223</v>
      </c>
      <c r="AA34" s="1">
        <v>224</v>
      </c>
      <c r="AB34" s="1"/>
      <c r="AC34" s="1" t="s">
        <v>27</v>
      </c>
      <c r="AD34" s="1"/>
      <c r="AE34" s="1"/>
      <c r="AF34" s="1">
        <v>3.37</v>
      </c>
      <c r="AG34" s="1">
        <v>3.45</v>
      </c>
      <c r="AH34" s="1">
        <f t="shared" ref="AH34:AH65" si="16">AF34*AG34</f>
        <v>11.626500000000002</v>
      </c>
      <c r="AI34" s="1">
        <f t="shared" ref="AI34:AI65" si="17">(AH34*100/(Y34*AA34))</f>
        <v>5.1904017857142861</v>
      </c>
      <c r="AJ34" s="1"/>
      <c r="AK34" s="1"/>
      <c r="AL34" s="1">
        <f>Table1[[#This Row],[Chip Size -X (mm)]]*Table1[[#This Row],[Chip Size - Y (mm)]]</f>
        <v>0</v>
      </c>
      <c r="AM34" s="1"/>
      <c r="AN34" s="1"/>
      <c r="AO34" s="1" t="e">
        <f t="shared" ref="AO34:AO65" si="18">(AM34*AN34/(AD34+AE34)*MAX(AD34,AE34)*2)/MAX(AD34,AE34)</f>
        <v>#DIV/0!</v>
      </c>
      <c r="AP34" s="2"/>
      <c r="AQ34" s="1"/>
      <c r="AR34" s="1"/>
      <c r="AS34" s="1"/>
      <c r="AT34" s="1"/>
      <c r="AU34" s="1"/>
      <c r="AV34" s="1"/>
      <c r="AW34" s="1"/>
      <c r="AX34" s="1" t="s">
        <v>329</v>
      </c>
    </row>
    <row r="35" spans="1:50" x14ac:dyDescent="0.2">
      <c r="A35" s="1" t="s">
        <v>49</v>
      </c>
      <c r="B35" s="1">
        <v>2018</v>
      </c>
      <c r="C35" s="1">
        <v>8</v>
      </c>
      <c r="D35" s="1" t="s">
        <v>94</v>
      </c>
      <c r="E35" s="29" t="s">
        <v>93</v>
      </c>
      <c r="F35" s="1" t="s">
        <v>35</v>
      </c>
      <c r="G35" s="1" t="s">
        <v>17</v>
      </c>
      <c r="H35" s="1">
        <v>180</v>
      </c>
      <c r="I35" s="1">
        <v>28</v>
      </c>
      <c r="J35" s="1">
        <f>L35+M35</f>
        <v>128</v>
      </c>
      <c r="K35" s="1">
        <v>2</v>
      </c>
      <c r="L35" s="1">
        <f t="shared" si="14"/>
        <v>64</v>
      </c>
      <c r="M35" s="1">
        <f t="shared" si="15"/>
        <v>64</v>
      </c>
      <c r="N35" s="1">
        <v>1</v>
      </c>
      <c r="O35" s="1">
        <v>1</v>
      </c>
      <c r="P35" s="1" t="s">
        <v>223</v>
      </c>
      <c r="Q35" s="1">
        <v>52</v>
      </c>
      <c r="R35" s="1">
        <f t="shared" si="8"/>
        <v>64</v>
      </c>
      <c r="S35" s="25">
        <f t="shared" si="9"/>
        <v>30.061799739838872</v>
      </c>
      <c r="T35" s="1">
        <f t="shared" si="12"/>
        <v>14.08</v>
      </c>
      <c r="U35" s="1">
        <f t="shared" si="13"/>
        <v>9.6</v>
      </c>
      <c r="V35" s="1">
        <f>IF(OR(ISNUMBER(Table1[[#This Row],[TX Pdc (W)]]), ISNUMBER(Table1[[#This Row],[RX Pdc (W)]])),MAX(Table1[[#This Row],[TX Pdc (W)]],Table1[[#This Row],[RX Pdc (W)]])/Table1[[#This Row],[Array Aperture Size (cm2)]],"N/A")</f>
        <v>0.76388888888888895</v>
      </c>
      <c r="W35" s="1">
        <f>IF(OR(ISNUMBER(Table1[[#This Row],[TX Pdc (W)]]), ISNUMBER(Table1[[#This Row],[RX Pdc (W)]])),MAX(Table1[[#This Row],[TX Pdc (W)]],Table1[[#This Row],[RX Pdc (W)]])/(Table1[[#This Row],['# of Array Tile]]*Table1[[#This Row],['# of IC per Tile]])/(Table1[[#This Row],[Chip Size (mm2)]]*0.01),"N/A")</f>
        <v>7.8014184397163122</v>
      </c>
      <c r="X35" s="23"/>
      <c r="Y35" s="1">
        <v>1</v>
      </c>
      <c r="Z35" s="1" t="s">
        <v>223</v>
      </c>
      <c r="AA35" s="1">
        <v>64</v>
      </c>
      <c r="AB35" s="1">
        <v>16</v>
      </c>
      <c r="AC35" s="1" t="s">
        <v>309</v>
      </c>
      <c r="AD35" s="1">
        <v>4</v>
      </c>
      <c r="AE35" s="1">
        <v>4</v>
      </c>
      <c r="AF35" s="1">
        <v>3.84</v>
      </c>
      <c r="AG35" s="1">
        <v>4.8</v>
      </c>
      <c r="AH35" s="1">
        <f t="shared" si="16"/>
        <v>18.431999999999999</v>
      </c>
      <c r="AI35" s="1">
        <f t="shared" si="17"/>
        <v>28.799999999999997</v>
      </c>
      <c r="AJ35" s="1">
        <v>4.7</v>
      </c>
      <c r="AK35" s="1">
        <v>2.4</v>
      </c>
      <c r="AL35" s="1">
        <f>Table1[[#This Row],[Chip Size -X (mm)]]*Table1[[#This Row],[Chip Size - Y (mm)]]</f>
        <v>11.28</v>
      </c>
      <c r="AM35" s="1">
        <v>4.4000000000000004</v>
      </c>
      <c r="AN35" s="1">
        <v>2.12</v>
      </c>
      <c r="AO35" s="1">
        <f t="shared" si="18"/>
        <v>2.3320000000000003</v>
      </c>
      <c r="AP35" s="2"/>
      <c r="AQ35" s="1">
        <v>12</v>
      </c>
      <c r="AR35" s="1"/>
      <c r="AS35" s="1">
        <v>19</v>
      </c>
      <c r="AT35" s="1">
        <v>4.8</v>
      </c>
      <c r="AU35" s="1">
        <v>19</v>
      </c>
      <c r="AV35" s="1">
        <v>220</v>
      </c>
      <c r="AW35" s="1">
        <v>150</v>
      </c>
      <c r="AX35" s="1"/>
    </row>
    <row r="36" spans="1:50" x14ac:dyDescent="0.2">
      <c r="A36" s="1" t="s">
        <v>68</v>
      </c>
      <c r="B36" s="1">
        <v>2018</v>
      </c>
      <c r="C36" s="1">
        <v>9</v>
      </c>
      <c r="D36" s="1" t="s">
        <v>58</v>
      </c>
      <c r="E36" s="29" t="s">
        <v>238</v>
      </c>
      <c r="F36" s="1" t="s">
        <v>41</v>
      </c>
      <c r="G36" s="1" t="s">
        <v>17</v>
      </c>
      <c r="H36" s="1">
        <v>130</v>
      </c>
      <c r="I36" s="1">
        <v>94</v>
      </c>
      <c r="J36" s="1">
        <f>L36+M36</f>
        <v>64</v>
      </c>
      <c r="K36" s="1">
        <v>2</v>
      </c>
      <c r="L36" s="1">
        <f t="shared" si="14"/>
        <v>64</v>
      </c>
      <c r="M36" s="1">
        <f t="shared" si="15"/>
        <v>0</v>
      </c>
      <c r="N36" s="1">
        <v>1</v>
      </c>
      <c r="O36" s="1"/>
      <c r="P36" s="1" t="s">
        <v>224</v>
      </c>
      <c r="Q36" s="1"/>
      <c r="R36" s="1" t="str">
        <f t="shared" si="8"/>
        <v/>
      </c>
      <c r="S36" s="25">
        <f t="shared" si="9"/>
        <v>25.861799739838872</v>
      </c>
      <c r="T36" s="1">
        <f t="shared" si="12"/>
        <v>12.224</v>
      </c>
      <c r="U36" s="1" t="str">
        <f t="shared" si="13"/>
        <v>N/A</v>
      </c>
      <c r="V36" s="1">
        <f>IF(OR(ISNUMBER(Table1[[#This Row],[TX Pdc (W)]]), ISNUMBER(Table1[[#This Row],[RX Pdc (W)]])),MAX(Table1[[#This Row],[TX Pdc (W)]],Table1[[#This Row],[RX Pdc (W)]])/Table1[[#This Row],[Array Aperture Size (cm2)]],"N/A")</f>
        <v>4.7749999999999995</v>
      </c>
      <c r="W36" s="1">
        <f>IF(OR(ISNUMBER(Table1[[#This Row],[TX Pdc (W)]]), ISNUMBER(Table1[[#This Row],[RX Pdc (W)]])),MAX(Table1[[#This Row],[TX Pdc (W)]],Table1[[#This Row],[RX Pdc (W)]])/(Table1[[#This Row],['# of Array Tile]]*Table1[[#This Row],['# of IC per Tile]])/(Table1[[#This Row],[Chip Size (mm2)]]*0.01),"N/A")</f>
        <v>8.1449893390191903</v>
      </c>
      <c r="X36" s="23"/>
      <c r="Y36" s="1">
        <v>1</v>
      </c>
      <c r="Z36" s="1" t="s">
        <v>227</v>
      </c>
      <c r="AA36" s="1">
        <v>64</v>
      </c>
      <c r="AB36" s="1">
        <v>4</v>
      </c>
      <c r="AC36" s="1" t="s">
        <v>27</v>
      </c>
      <c r="AD36" s="1">
        <v>16</v>
      </c>
      <c r="AE36" s="1"/>
      <c r="AF36" s="1">
        <v>1.6</v>
      </c>
      <c r="AG36" s="1">
        <v>1.6</v>
      </c>
      <c r="AH36" s="1">
        <f t="shared" si="16"/>
        <v>2.5600000000000005</v>
      </c>
      <c r="AI36" s="1">
        <f t="shared" si="17"/>
        <v>4.0000000000000009</v>
      </c>
      <c r="AJ36" s="1">
        <v>6.7</v>
      </c>
      <c r="AK36" s="1">
        <v>5.6</v>
      </c>
      <c r="AL36" s="1">
        <f>Table1[[#This Row],[Chip Size -X (mm)]]*Table1[[#This Row],[Chip Size - Y (mm)]]</f>
        <v>37.519999999999996</v>
      </c>
      <c r="AM36" s="1">
        <v>6.7</v>
      </c>
      <c r="AN36" s="1">
        <v>5.6</v>
      </c>
      <c r="AO36" s="1">
        <f t="shared" si="18"/>
        <v>4.6899999999999995</v>
      </c>
      <c r="AP36" s="2"/>
      <c r="AQ36" s="1">
        <v>7.8</v>
      </c>
      <c r="AR36" s="1"/>
      <c r="AS36" s="1">
        <v>50</v>
      </c>
      <c r="AT36" s="1"/>
      <c r="AU36" s="1"/>
      <c r="AV36" s="1">
        <v>191</v>
      </c>
      <c r="AW36" s="1"/>
      <c r="AX36" s="1" t="s">
        <v>239</v>
      </c>
    </row>
    <row r="37" spans="1:50" x14ac:dyDescent="0.2">
      <c r="A37" s="1" t="s">
        <v>68</v>
      </c>
      <c r="B37" s="1">
        <v>2018</v>
      </c>
      <c r="C37" s="1">
        <v>9</v>
      </c>
      <c r="D37" s="1" t="s">
        <v>58</v>
      </c>
      <c r="E37" s="29" t="s">
        <v>238</v>
      </c>
      <c r="F37" s="1" t="s">
        <v>33</v>
      </c>
      <c r="G37" s="1" t="s">
        <v>17</v>
      </c>
      <c r="H37" s="1">
        <v>130</v>
      </c>
      <c r="I37" s="1">
        <v>94</v>
      </c>
      <c r="J37" s="1">
        <f>L37+M37</f>
        <v>64</v>
      </c>
      <c r="K37" s="1">
        <v>2</v>
      </c>
      <c r="L37" s="1">
        <f t="shared" si="14"/>
        <v>0</v>
      </c>
      <c r="M37" s="1">
        <f t="shared" si="15"/>
        <v>64</v>
      </c>
      <c r="N37" s="1"/>
      <c r="O37" s="1">
        <v>2</v>
      </c>
      <c r="P37" s="1" t="s">
        <v>224</v>
      </c>
      <c r="Q37" s="1"/>
      <c r="R37" s="1" t="str">
        <f t="shared" si="8"/>
        <v/>
      </c>
      <c r="S37" s="25" t="str">
        <f t="shared" si="9"/>
        <v>N/A</v>
      </c>
      <c r="T37" s="1" t="str">
        <f t="shared" si="12"/>
        <v>N/A</v>
      </c>
      <c r="U37" s="1">
        <f t="shared" si="13"/>
        <v>8.9600000000000009</v>
      </c>
      <c r="V37" s="1">
        <f>IF(OR(ISNUMBER(Table1[[#This Row],[TX Pdc (W)]]), ISNUMBER(Table1[[#This Row],[RX Pdc (W)]])),MAX(Table1[[#This Row],[TX Pdc (W)]],Table1[[#This Row],[RX Pdc (W)]])/Table1[[#This Row],[Array Aperture Size (cm2)]],"N/A")</f>
        <v>3.4999999999999996</v>
      </c>
      <c r="W37" s="1">
        <f>IF(OR(ISNUMBER(Table1[[#This Row],[TX Pdc (W)]]), ISNUMBER(Table1[[#This Row],[RX Pdc (W)]])),MAX(Table1[[#This Row],[TX Pdc (W)]],Table1[[#This Row],[RX Pdc (W)]])/(Table1[[#This Row],['# of Array Tile]]*Table1[[#This Row],['# of IC per Tile]])/(Table1[[#This Row],[Chip Size (mm2)]]*0.01),"N/A")</f>
        <v>5.9701492537313445</v>
      </c>
      <c r="X37" s="23"/>
      <c r="Y37" s="1">
        <v>1</v>
      </c>
      <c r="Z37" s="1" t="s">
        <v>227</v>
      </c>
      <c r="AA37" s="1">
        <v>64</v>
      </c>
      <c r="AB37" s="1">
        <v>4</v>
      </c>
      <c r="AC37" s="1" t="s">
        <v>27</v>
      </c>
      <c r="AD37" s="1"/>
      <c r="AE37" s="1">
        <v>16</v>
      </c>
      <c r="AF37" s="1">
        <v>1.6</v>
      </c>
      <c r="AG37" s="1">
        <v>1.6</v>
      </c>
      <c r="AH37" s="1">
        <f t="shared" si="16"/>
        <v>2.5600000000000005</v>
      </c>
      <c r="AI37" s="1">
        <f t="shared" si="17"/>
        <v>4.0000000000000009</v>
      </c>
      <c r="AJ37" s="1">
        <v>6.7</v>
      </c>
      <c r="AK37" s="1">
        <v>5.6</v>
      </c>
      <c r="AL37" s="1">
        <f>Table1[[#This Row],[Chip Size -X (mm)]]*Table1[[#This Row],[Chip Size - Y (mm)]]</f>
        <v>37.519999999999996</v>
      </c>
      <c r="AM37" s="1">
        <v>6.7</v>
      </c>
      <c r="AN37" s="1">
        <v>5.6</v>
      </c>
      <c r="AO37" s="1">
        <f t="shared" si="18"/>
        <v>4.6899999999999995</v>
      </c>
      <c r="AP37" s="2"/>
      <c r="AQ37" s="1"/>
      <c r="AR37" s="1"/>
      <c r="AS37" s="1"/>
      <c r="AT37" s="1">
        <v>7</v>
      </c>
      <c r="AU37" s="1">
        <v>41</v>
      </c>
      <c r="AV37" s="1"/>
      <c r="AW37" s="1">
        <v>140</v>
      </c>
      <c r="AX37" s="1" t="s">
        <v>239</v>
      </c>
    </row>
    <row r="38" spans="1:50" x14ac:dyDescent="0.2">
      <c r="A38" s="1" t="s">
        <v>281</v>
      </c>
      <c r="B38" s="1">
        <v>2018</v>
      </c>
      <c r="C38" s="1">
        <v>12</v>
      </c>
      <c r="D38" s="1" t="s">
        <v>243</v>
      </c>
      <c r="E38" s="29" t="s">
        <v>280</v>
      </c>
      <c r="F38" s="1" t="s">
        <v>151</v>
      </c>
      <c r="G38" s="1"/>
      <c r="H38" s="1"/>
      <c r="I38" s="1">
        <v>42</v>
      </c>
      <c r="J38" s="1"/>
      <c r="K38" s="1">
        <v>2</v>
      </c>
      <c r="L38" s="1">
        <f t="shared" si="14"/>
        <v>0</v>
      </c>
      <c r="M38" s="1">
        <f t="shared" si="15"/>
        <v>0</v>
      </c>
      <c r="N38" s="1">
        <v>1</v>
      </c>
      <c r="O38" s="1">
        <v>1</v>
      </c>
      <c r="P38" s="1" t="s">
        <v>223</v>
      </c>
      <c r="Q38" s="1"/>
      <c r="R38" s="1" t="str">
        <f t="shared" si="8"/>
        <v/>
      </c>
      <c r="S38" s="25" t="str">
        <f t="shared" si="9"/>
        <v>N/A</v>
      </c>
      <c r="T38" s="1" t="str">
        <f t="shared" si="12"/>
        <v>N/A</v>
      </c>
      <c r="U38" s="1" t="str">
        <f t="shared" si="13"/>
        <v>N/A</v>
      </c>
      <c r="V38" s="1" t="str">
        <f>IF(OR(ISNUMBER(Table1[[#This Row],[TX Pdc (W)]]), ISNUMBER(Table1[[#This Row],[RX Pdc (W)]])),MAX(Table1[[#This Row],[TX Pdc (W)]],Table1[[#This Row],[RX Pdc (W)]])/Table1[[#This Row],[Array Aperture Size (cm2)]],"N/A")</f>
        <v>N/A</v>
      </c>
      <c r="W38" s="1" t="str">
        <f>IF(OR(ISNUMBER(Table1[[#This Row],[TX Pdc (W)]]), ISNUMBER(Table1[[#This Row],[RX Pdc (W)]])),MAX(Table1[[#This Row],[TX Pdc (W)]],Table1[[#This Row],[RX Pdc (W)]])/(Table1[[#This Row],['# of Array Tile]]*Table1[[#This Row],['# of IC per Tile]])/(Table1[[#This Row],[Chip Size (mm2)]]*0.01),"N/A")</f>
        <v>N/A</v>
      </c>
      <c r="X38" s="23"/>
      <c r="Y38" s="1">
        <v>1</v>
      </c>
      <c r="Z38" s="1" t="s">
        <v>223</v>
      </c>
      <c r="AA38" s="1"/>
      <c r="AB38" s="1"/>
      <c r="AC38" s="1" t="s">
        <v>27</v>
      </c>
      <c r="AD38" s="1"/>
      <c r="AE38" s="1"/>
      <c r="AF38" s="1">
        <v>14</v>
      </c>
      <c r="AG38" s="1">
        <v>10.8</v>
      </c>
      <c r="AH38" s="1">
        <f t="shared" si="16"/>
        <v>151.20000000000002</v>
      </c>
      <c r="AI38" s="1" t="e">
        <f t="shared" si="17"/>
        <v>#DIV/0!</v>
      </c>
      <c r="AJ38" s="1"/>
      <c r="AK38" s="1"/>
      <c r="AL38" s="1">
        <f>Table1[[#This Row],[Chip Size -X (mm)]]*Table1[[#This Row],[Chip Size - Y (mm)]]</f>
        <v>0</v>
      </c>
      <c r="AM38" s="1"/>
      <c r="AN38" s="1"/>
      <c r="AO38" s="1" t="e">
        <f t="shared" si="18"/>
        <v>#DIV/0!</v>
      </c>
      <c r="AP38" s="2"/>
      <c r="AQ38" s="1"/>
      <c r="AR38" s="1"/>
      <c r="AS38" s="1">
        <v>25.9</v>
      </c>
      <c r="AT38" s="1"/>
      <c r="AU38" s="1"/>
      <c r="AV38" s="1"/>
      <c r="AW38" s="1"/>
      <c r="AX38" s="1" t="s">
        <v>329</v>
      </c>
    </row>
    <row r="39" spans="1:50" x14ac:dyDescent="0.2">
      <c r="A39" s="1" t="s">
        <v>14</v>
      </c>
      <c r="B39" s="1">
        <v>2019</v>
      </c>
      <c r="C39" s="1">
        <v>2</v>
      </c>
      <c r="D39" s="1" t="s">
        <v>65</v>
      </c>
      <c r="E39" s="29" t="s">
        <v>64</v>
      </c>
      <c r="F39" s="1" t="s">
        <v>35</v>
      </c>
      <c r="G39" s="1" t="s">
        <v>20</v>
      </c>
      <c r="H39" s="1">
        <v>28</v>
      </c>
      <c r="I39" s="1">
        <v>145</v>
      </c>
      <c r="J39" s="1">
        <f t="shared" ref="J39:J72" si="19">L39+M39</f>
        <v>2</v>
      </c>
      <c r="K39" s="1" t="s">
        <v>27</v>
      </c>
      <c r="L39" s="1">
        <f t="shared" si="14"/>
        <v>1</v>
      </c>
      <c r="M39" s="1">
        <f t="shared" si="15"/>
        <v>1</v>
      </c>
      <c r="N39" s="1">
        <v>1</v>
      </c>
      <c r="O39" s="1">
        <v>1</v>
      </c>
      <c r="P39" s="1" t="s">
        <v>218</v>
      </c>
      <c r="Q39" s="1">
        <v>11.5</v>
      </c>
      <c r="R39" s="1">
        <f t="shared" si="8"/>
        <v>2</v>
      </c>
      <c r="S39" s="25">
        <f t="shared" si="9"/>
        <v>11.500000000000002</v>
      </c>
      <c r="T39" s="1">
        <f t="shared" si="12"/>
        <v>0.5</v>
      </c>
      <c r="U39" s="1">
        <f t="shared" si="13"/>
        <v>0</v>
      </c>
      <c r="V39" s="1" t="e">
        <f>IF(OR(ISNUMBER(Table1[[#This Row],[TX Pdc (W)]]), ISNUMBER(Table1[[#This Row],[RX Pdc (W)]])),MAX(Table1[[#This Row],[TX Pdc (W)]],Table1[[#This Row],[RX Pdc (W)]])/Table1[[#This Row],[Array Aperture Size (cm2)]],"N/A")</f>
        <v>#VALUE!</v>
      </c>
      <c r="W39" s="1">
        <f>IF(OR(ISNUMBER(Table1[[#This Row],[TX Pdc (W)]]), ISNUMBER(Table1[[#This Row],[RX Pdc (W)]])),MAX(Table1[[#This Row],[TX Pdc (W)]],Table1[[#This Row],[RX Pdc (W)]])/(Table1[[#This Row],['# of Array Tile]]*Table1[[#This Row],['# of IC per Tile]])/(Table1[[#This Row],[Chip Size (mm2)]]*0.01),"N/A")</f>
        <v>7.6255547591087245</v>
      </c>
      <c r="X39" s="23"/>
      <c r="Y39" s="1">
        <v>1</v>
      </c>
      <c r="Z39" s="1" t="s">
        <v>218</v>
      </c>
      <c r="AA39" s="1">
        <v>2</v>
      </c>
      <c r="AB39" s="1">
        <v>1</v>
      </c>
      <c r="AC39" s="1" t="s">
        <v>310</v>
      </c>
      <c r="AD39" s="1">
        <v>1</v>
      </c>
      <c r="AE39" s="1">
        <v>1</v>
      </c>
      <c r="AF39" s="1" t="s">
        <v>27</v>
      </c>
      <c r="AG39" s="1" t="s">
        <v>27</v>
      </c>
      <c r="AH39" s="1" t="e">
        <f t="shared" si="16"/>
        <v>#VALUE!</v>
      </c>
      <c r="AI39" s="1" t="e">
        <f t="shared" si="17"/>
        <v>#VALUE!</v>
      </c>
      <c r="AJ39" s="1">
        <v>4.5220000000000002</v>
      </c>
      <c r="AK39" s="1">
        <v>1.45</v>
      </c>
      <c r="AL39" s="1">
        <f>Table1[[#This Row],[Chip Size -X (mm)]]*Table1[[#This Row],[Chip Size - Y (mm)]]</f>
        <v>6.5568999999999997</v>
      </c>
      <c r="AM39" s="1">
        <v>4.34</v>
      </c>
      <c r="AN39" s="1">
        <v>1.44</v>
      </c>
      <c r="AO39" s="1">
        <f t="shared" si="18"/>
        <v>6.2495999999999992</v>
      </c>
      <c r="AP39" s="2"/>
      <c r="AQ39" s="1">
        <v>11.5</v>
      </c>
      <c r="AR39" s="1"/>
      <c r="AS39" s="1"/>
      <c r="AT39" s="1">
        <v>8</v>
      </c>
      <c r="AU39" s="1">
        <v>80</v>
      </c>
      <c r="AV39" s="1">
        <v>500</v>
      </c>
      <c r="AW39" s="1">
        <v>0</v>
      </c>
      <c r="AX39" s="1"/>
    </row>
    <row r="40" spans="1:50" x14ac:dyDescent="0.2">
      <c r="A40" s="1" t="s">
        <v>14</v>
      </c>
      <c r="B40" s="1">
        <v>2019</v>
      </c>
      <c r="C40" s="1">
        <v>2</v>
      </c>
      <c r="D40" s="1" t="s">
        <v>88</v>
      </c>
      <c r="E40" s="29" t="s">
        <v>89</v>
      </c>
      <c r="F40" s="1" t="s">
        <v>33</v>
      </c>
      <c r="G40" s="1" t="s">
        <v>51</v>
      </c>
      <c r="H40" s="1">
        <v>45</v>
      </c>
      <c r="I40" s="1">
        <v>27</v>
      </c>
      <c r="J40" s="1">
        <f t="shared" si="19"/>
        <v>4</v>
      </c>
      <c r="K40" s="1">
        <v>2</v>
      </c>
      <c r="L40" s="1">
        <f t="shared" si="14"/>
        <v>0</v>
      </c>
      <c r="M40" s="1">
        <f t="shared" si="15"/>
        <v>4</v>
      </c>
      <c r="N40" s="1"/>
      <c r="O40" s="1">
        <v>1</v>
      </c>
      <c r="P40" s="1" t="s">
        <v>222</v>
      </c>
      <c r="Q40" s="1"/>
      <c r="R40" s="1" t="str">
        <f t="shared" si="8"/>
        <v/>
      </c>
      <c r="S40" s="25" t="str">
        <f t="shared" si="9"/>
        <v>N/A</v>
      </c>
      <c r="T40" s="1" t="str">
        <f t="shared" si="12"/>
        <v>N/A</v>
      </c>
      <c r="U40" s="1">
        <f t="shared" si="13"/>
        <v>0.34</v>
      </c>
      <c r="V40" s="1" t="e">
        <f>IF(OR(ISNUMBER(Table1[[#This Row],[TX Pdc (W)]]), ISNUMBER(Table1[[#This Row],[RX Pdc (W)]])),MAX(Table1[[#This Row],[TX Pdc (W)]],Table1[[#This Row],[RX Pdc (W)]])/Table1[[#This Row],[Array Aperture Size (cm2)]],"N/A")</f>
        <v>#VALUE!</v>
      </c>
      <c r="W40" s="1">
        <f>IF(OR(ISNUMBER(Table1[[#This Row],[TX Pdc (W)]]), ISNUMBER(Table1[[#This Row],[RX Pdc (W)]])),MAX(Table1[[#This Row],[TX Pdc (W)]],Table1[[#This Row],[RX Pdc (W)]])/(Table1[[#This Row],['# of Array Tile]]*Table1[[#This Row],['# of IC per Tile]])/(Table1[[#This Row],[Chip Size (mm2)]]*0.01),"N/A")</f>
        <v>1.4529914529914529</v>
      </c>
      <c r="X40" s="23"/>
      <c r="Y40" s="1">
        <v>1</v>
      </c>
      <c r="Z40" s="1" t="s">
        <v>27</v>
      </c>
      <c r="AA40" s="1" t="s">
        <v>27</v>
      </c>
      <c r="AB40" s="1">
        <v>1</v>
      </c>
      <c r="AC40" s="1" t="s">
        <v>27</v>
      </c>
      <c r="AD40" s="1"/>
      <c r="AE40" s="1">
        <v>4</v>
      </c>
      <c r="AF40" s="1" t="s">
        <v>27</v>
      </c>
      <c r="AG40" s="1" t="s">
        <v>27</v>
      </c>
      <c r="AH40" s="1" t="e">
        <f t="shared" si="16"/>
        <v>#VALUE!</v>
      </c>
      <c r="AI40" s="1" t="e">
        <f t="shared" si="17"/>
        <v>#VALUE!</v>
      </c>
      <c r="AJ40" s="1">
        <v>3.6</v>
      </c>
      <c r="AK40" s="1">
        <v>6.5</v>
      </c>
      <c r="AL40" s="1">
        <f>Table1[[#This Row],[Chip Size -X (mm)]]*Table1[[#This Row],[Chip Size - Y (mm)]]</f>
        <v>23.400000000000002</v>
      </c>
      <c r="AM40" s="1">
        <v>3.34</v>
      </c>
      <c r="AN40" s="1">
        <v>6.16</v>
      </c>
      <c r="AO40" s="1">
        <f t="shared" si="18"/>
        <v>10.2872</v>
      </c>
      <c r="AP40" s="2"/>
      <c r="AQ40" s="1"/>
      <c r="AR40" s="1"/>
      <c r="AS40" s="1"/>
      <c r="AT40" s="1">
        <v>4.9000000000000004</v>
      </c>
      <c r="AU40" s="1">
        <v>34</v>
      </c>
      <c r="AV40" s="1"/>
      <c r="AW40" s="1">
        <v>85</v>
      </c>
      <c r="AX40" s="1"/>
    </row>
    <row r="41" spans="1:50" x14ac:dyDescent="0.2">
      <c r="A41" s="1" t="s">
        <v>14</v>
      </c>
      <c r="B41" s="1">
        <v>2019</v>
      </c>
      <c r="C41" s="1">
        <v>2</v>
      </c>
      <c r="D41" s="1" t="s">
        <v>88</v>
      </c>
      <c r="E41" s="29" t="s">
        <v>89</v>
      </c>
      <c r="F41" s="1" t="s">
        <v>33</v>
      </c>
      <c r="G41" s="1" t="s">
        <v>51</v>
      </c>
      <c r="H41" s="1">
        <v>45</v>
      </c>
      <c r="I41" s="1">
        <v>41</v>
      </c>
      <c r="J41" s="1">
        <f t="shared" si="19"/>
        <v>4</v>
      </c>
      <c r="K41" s="1">
        <v>2</v>
      </c>
      <c r="L41" s="1">
        <f t="shared" si="14"/>
        <v>0</v>
      </c>
      <c r="M41" s="1">
        <f t="shared" si="15"/>
        <v>4</v>
      </c>
      <c r="N41" s="1"/>
      <c r="O41" s="1">
        <v>1</v>
      </c>
      <c r="P41" s="1" t="s">
        <v>222</v>
      </c>
      <c r="Q41" s="1"/>
      <c r="R41" s="1" t="str">
        <f t="shared" si="8"/>
        <v/>
      </c>
      <c r="S41" s="25" t="str">
        <f t="shared" si="9"/>
        <v>N/A</v>
      </c>
      <c r="T41" s="1" t="str">
        <f t="shared" si="12"/>
        <v>N/A</v>
      </c>
      <c r="U41" s="1">
        <f t="shared" si="13"/>
        <v>0.34</v>
      </c>
      <c r="V41" s="1" t="e">
        <f>IF(OR(ISNUMBER(Table1[[#This Row],[TX Pdc (W)]]), ISNUMBER(Table1[[#This Row],[RX Pdc (W)]])),MAX(Table1[[#This Row],[TX Pdc (W)]],Table1[[#This Row],[RX Pdc (W)]])/Table1[[#This Row],[Array Aperture Size (cm2)]],"N/A")</f>
        <v>#VALUE!</v>
      </c>
      <c r="W41" s="1">
        <f>IF(OR(ISNUMBER(Table1[[#This Row],[TX Pdc (W)]]), ISNUMBER(Table1[[#This Row],[RX Pdc (W)]])),MAX(Table1[[#This Row],[TX Pdc (W)]],Table1[[#This Row],[RX Pdc (W)]])/(Table1[[#This Row],['# of Array Tile]]*Table1[[#This Row],['# of IC per Tile]])/(Table1[[#This Row],[Chip Size (mm2)]]*0.01),"N/A")</f>
        <v>1.4529914529914529</v>
      </c>
      <c r="X41" s="23"/>
      <c r="Y41" s="1">
        <v>1</v>
      </c>
      <c r="Z41" s="1" t="s">
        <v>27</v>
      </c>
      <c r="AA41" s="1" t="s">
        <v>27</v>
      </c>
      <c r="AB41" s="1">
        <v>1</v>
      </c>
      <c r="AC41" s="1" t="s">
        <v>27</v>
      </c>
      <c r="AD41" s="1"/>
      <c r="AE41" s="1">
        <v>4</v>
      </c>
      <c r="AF41" s="1" t="s">
        <v>27</v>
      </c>
      <c r="AG41" s="1" t="s">
        <v>27</v>
      </c>
      <c r="AH41" s="1" t="e">
        <f t="shared" si="16"/>
        <v>#VALUE!</v>
      </c>
      <c r="AI41" s="1" t="e">
        <f t="shared" si="17"/>
        <v>#VALUE!</v>
      </c>
      <c r="AJ41" s="1">
        <v>3.6</v>
      </c>
      <c r="AK41" s="1">
        <v>6.5</v>
      </c>
      <c r="AL41" s="1">
        <f>Table1[[#This Row],[Chip Size -X (mm)]]*Table1[[#This Row],[Chip Size - Y (mm)]]</f>
        <v>23.400000000000002</v>
      </c>
      <c r="AM41" s="1">
        <v>3.34</v>
      </c>
      <c r="AN41" s="1">
        <v>6.16</v>
      </c>
      <c r="AO41" s="1">
        <f t="shared" si="18"/>
        <v>10.2872</v>
      </c>
      <c r="AP41" s="2"/>
      <c r="AQ41" s="1"/>
      <c r="AR41" s="1"/>
      <c r="AS41" s="1"/>
      <c r="AT41" s="1">
        <v>6.3</v>
      </c>
      <c r="AU41" s="1">
        <v>33</v>
      </c>
      <c r="AV41" s="1"/>
      <c r="AW41" s="1">
        <v>85</v>
      </c>
      <c r="AX41" s="1"/>
    </row>
    <row r="42" spans="1:50" x14ac:dyDescent="0.2">
      <c r="A42" s="1" t="s">
        <v>14</v>
      </c>
      <c r="B42" s="1">
        <v>2019</v>
      </c>
      <c r="C42" s="1">
        <v>2</v>
      </c>
      <c r="D42" s="1" t="s">
        <v>241</v>
      </c>
      <c r="E42" s="29" t="s">
        <v>240</v>
      </c>
      <c r="F42" s="1" t="s">
        <v>35</v>
      </c>
      <c r="G42" s="1" t="s">
        <v>158</v>
      </c>
      <c r="H42" s="1">
        <v>22</v>
      </c>
      <c r="I42" s="1">
        <v>73</v>
      </c>
      <c r="J42" s="1">
        <f t="shared" si="19"/>
        <v>128</v>
      </c>
      <c r="K42" s="1">
        <v>2</v>
      </c>
      <c r="L42" s="1">
        <f t="shared" si="14"/>
        <v>64</v>
      </c>
      <c r="M42" s="1">
        <f t="shared" si="15"/>
        <v>64</v>
      </c>
      <c r="N42" s="1">
        <v>1</v>
      </c>
      <c r="O42" s="1">
        <v>1</v>
      </c>
      <c r="P42" s="1" t="s">
        <v>224</v>
      </c>
      <c r="Q42" s="1">
        <v>44.4</v>
      </c>
      <c r="R42" s="1">
        <f t="shared" si="8"/>
        <v>64</v>
      </c>
      <c r="S42" s="25">
        <f t="shared" si="9"/>
        <v>26.061799739838875</v>
      </c>
      <c r="T42" s="1">
        <f t="shared" si="12"/>
        <v>9.4719999999999995</v>
      </c>
      <c r="U42" s="1">
        <f t="shared" si="13"/>
        <v>10.752000000000001</v>
      </c>
      <c r="V42" s="1">
        <f>IF(OR(ISNUMBER(Table1[[#This Row],[TX Pdc (W)]]), ISNUMBER(Table1[[#This Row],[RX Pdc (W)]])),MAX(Table1[[#This Row],[TX Pdc (W)]],Table1[[#This Row],[RX Pdc (W)]])/Table1[[#This Row],[Array Aperture Size (cm2)]],"N/A")</f>
        <v>4.4246913580246909</v>
      </c>
      <c r="W42" s="1">
        <f>IF(OR(ISNUMBER(Table1[[#This Row],[TX Pdc (W)]]), ISNUMBER(Table1[[#This Row],[RX Pdc (W)]])),MAX(Table1[[#This Row],[TX Pdc (W)]],Table1[[#This Row],[RX Pdc (W)]])/(Table1[[#This Row],['# of Array Tile]]*Table1[[#This Row],['# of IC per Tile]])/(Table1[[#This Row],[Chip Size (mm2)]]*0.01),"N/A")</f>
        <v>13.333333333333334</v>
      </c>
      <c r="X42" s="23"/>
      <c r="Y42" s="1">
        <v>4</v>
      </c>
      <c r="Z42" s="1"/>
      <c r="AA42" s="1">
        <v>16</v>
      </c>
      <c r="AB42" s="1">
        <v>4</v>
      </c>
      <c r="AC42" s="1" t="s">
        <v>309</v>
      </c>
      <c r="AD42" s="1">
        <v>4</v>
      </c>
      <c r="AE42" s="1">
        <v>4</v>
      </c>
      <c r="AF42" s="1">
        <f>0.81*2</f>
        <v>1.62</v>
      </c>
      <c r="AG42" s="1">
        <f>0.75*2</f>
        <v>1.5</v>
      </c>
      <c r="AH42" s="1">
        <f t="shared" si="16"/>
        <v>2.4300000000000002</v>
      </c>
      <c r="AI42" s="1">
        <f t="shared" si="17"/>
        <v>3.7968750000000004</v>
      </c>
      <c r="AJ42" s="1">
        <v>2.1</v>
      </c>
      <c r="AK42" s="1">
        <v>2.4</v>
      </c>
      <c r="AL42" s="1">
        <f>Table1[[#This Row],[Chip Size -X (mm)]]*Table1[[#This Row],[Chip Size - Y (mm)]]</f>
        <v>5.04</v>
      </c>
      <c r="AM42" s="1">
        <v>2.1</v>
      </c>
      <c r="AN42" s="1">
        <v>2.4</v>
      </c>
      <c r="AO42" s="1">
        <f t="shared" si="18"/>
        <v>1.26</v>
      </c>
      <c r="AP42" s="2"/>
      <c r="AQ42" s="1">
        <v>8</v>
      </c>
      <c r="AR42" s="1"/>
      <c r="AS42" s="1">
        <v>26</v>
      </c>
      <c r="AT42" s="1">
        <v>6</v>
      </c>
      <c r="AU42" s="1">
        <v>36.700000000000003</v>
      </c>
      <c r="AV42" s="1">
        <v>148</v>
      </c>
      <c r="AW42" s="1">
        <v>168</v>
      </c>
      <c r="AX42" s="1"/>
    </row>
    <row r="43" spans="1:50" x14ac:dyDescent="0.2">
      <c r="A43" s="1" t="s">
        <v>14</v>
      </c>
      <c r="B43" s="1">
        <v>2019</v>
      </c>
      <c r="C43" s="1">
        <v>2</v>
      </c>
      <c r="D43" s="1" t="s">
        <v>58</v>
      </c>
      <c r="E43" s="29" t="s">
        <v>57</v>
      </c>
      <c r="F43" s="1" t="s">
        <v>35</v>
      </c>
      <c r="G43" s="1" t="s">
        <v>20</v>
      </c>
      <c r="H43" s="1">
        <v>40</v>
      </c>
      <c r="I43" s="1">
        <v>265.68</v>
      </c>
      <c r="J43" s="1">
        <f t="shared" si="19"/>
        <v>2</v>
      </c>
      <c r="K43" s="1" t="s">
        <v>27</v>
      </c>
      <c r="L43" s="1">
        <f t="shared" si="14"/>
        <v>1</v>
      </c>
      <c r="M43" s="1">
        <f t="shared" si="15"/>
        <v>1</v>
      </c>
      <c r="N43" s="1">
        <v>1</v>
      </c>
      <c r="O43" s="1">
        <v>1</v>
      </c>
      <c r="P43" s="1" t="s">
        <v>222</v>
      </c>
      <c r="Q43" s="1"/>
      <c r="R43" s="1" t="str">
        <f t="shared" si="8"/>
        <v/>
      </c>
      <c r="S43" s="25">
        <f t="shared" si="9"/>
        <v>-1.5999999999999996</v>
      </c>
      <c r="T43" s="1">
        <f t="shared" si="12"/>
        <v>1.79</v>
      </c>
      <c r="U43" s="1">
        <f t="shared" si="13"/>
        <v>0</v>
      </c>
      <c r="V43" s="1" t="e">
        <f>IF(OR(ISNUMBER(Table1[[#This Row],[TX Pdc (W)]]), ISNUMBER(Table1[[#This Row],[RX Pdc (W)]])),MAX(Table1[[#This Row],[TX Pdc (W)]],Table1[[#This Row],[RX Pdc (W)]])/Table1[[#This Row],[Array Aperture Size (cm2)]],"N/A")</f>
        <v>#VALUE!</v>
      </c>
      <c r="W43" s="1">
        <f>IF(OR(ISNUMBER(Table1[[#This Row],[TX Pdc (W)]]), ISNUMBER(Table1[[#This Row],[RX Pdc (W)]])),MAX(Table1[[#This Row],[TX Pdc (W)]],Table1[[#This Row],[RX Pdc (W)]])/(Table1[[#This Row],['# of Array Tile]]*Table1[[#This Row],['# of IC per Tile]])/(Table1[[#This Row],[Chip Size (mm2)]]*0.01),"N/A")</f>
        <v>16.18627783429411</v>
      </c>
      <c r="X43" s="23"/>
      <c r="Y43" s="1">
        <v>1</v>
      </c>
      <c r="Z43" s="1" t="s">
        <v>27</v>
      </c>
      <c r="AA43" s="1" t="s">
        <v>27</v>
      </c>
      <c r="AB43" s="1">
        <v>1</v>
      </c>
      <c r="AC43" s="1" t="s">
        <v>310</v>
      </c>
      <c r="AD43" s="1">
        <v>1</v>
      </c>
      <c r="AE43" s="1">
        <v>1</v>
      </c>
      <c r="AF43" s="1" t="s">
        <v>27</v>
      </c>
      <c r="AG43" s="1" t="s">
        <v>27</v>
      </c>
      <c r="AH43" s="1" t="e">
        <f t="shared" si="16"/>
        <v>#VALUE!</v>
      </c>
      <c r="AI43" s="1" t="e">
        <f t="shared" si="17"/>
        <v>#VALUE!</v>
      </c>
      <c r="AJ43" s="1">
        <v>4.915</v>
      </c>
      <c r="AK43" s="1">
        <v>2.25</v>
      </c>
      <c r="AL43" s="1">
        <f>Table1[[#This Row],[Chip Size -X (mm)]]*Table1[[#This Row],[Chip Size - Y (mm)]]</f>
        <v>11.05875</v>
      </c>
      <c r="AM43" s="1">
        <v>4.5999999999999996</v>
      </c>
      <c r="AN43" s="1">
        <v>2</v>
      </c>
      <c r="AO43" s="1">
        <f t="shared" si="18"/>
        <v>9.1999999999999993</v>
      </c>
      <c r="AP43" s="2"/>
      <c r="AQ43" s="1">
        <v>-1.6</v>
      </c>
      <c r="AR43" s="1"/>
      <c r="AS43" s="1">
        <v>0</v>
      </c>
      <c r="AT43" s="1">
        <v>22</v>
      </c>
      <c r="AU43" s="1">
        <v>3</v>
      </c>
      <c r="AV43" s="1">
        <v>1790</v>
      </c>
      <c r="AW43" s="1">
        <v>0</v>
      </c>
      <c r="AX43" s="1"/>
    </row>
    <row r="44" spans="1:50" x14ac:dyDescent="0.2">
      <c r="A44" s="1" t="s">
        <v>31</v>
      </c>
      <c r="B44" s="1">
        <v>2019</v>
      </c>
      <c r="C44" s="1">
        <v>6</v>
      </c>
      <c r="D44" s="1" t="s">
        <v>88</v>
      </c>
      <c r="E44" s="29" t="s">
        <v>87</v>
      </c>
      <c r="F44" s="1" t="s">
        <v>33</v>
      </c>
      <c r="G44" s="1" t="s">
        <v>51</v>
      </c>
      <c r="H44" s="1">
        <v>45</v>
      </c>
      <c r="I44" s="1">
        <v>24.5</v>
      </c>
      <c r="J44" s="1">
        <f t="shared" si="19"/>
        <v>1</v>
      </c>
      <c r="K44" s="1" t="s">
        <v>27</v>
      </c>
      <c r="L44" s="1">
        <f t="shared" si="14"/>
        <v>0</v>
      </c>
      <c r="M44" s="1">
        <f t="shared" si="15"/>
        <v>1</v>
      </c>
      <c r="N44" s="1"/>
      <c r="O44" s="1">
        <v>1</v>
      </c>
      <c r="P44" s="1" t="s">
        <v>222</v>
      </c>
      <c r="Q44" s="1"/>
      <c r="R44" s="1" t="str">
        <f t="shared" si="8"/>
        <v/>
      </c>
      <c r="S44" s="25" t="str">
        <f t="shared" si="9"/>
        <v>N/A</v>
      </c>
      <c r="T44" s="1" t="str">
        <f t="shared" si="12"/>
        <v>N/A</v>
      </c>
      <c r="U44" s="1">
        <f t="shared" si="13"/>
        <v>0.06</v>
      </c>
      <c r="V44" s="1" t="e">
        <f>IF(OR(ISNUMBER(Table1[[#This Row],[TX Pdc (W)]]), ISNUMBER(Table1[[#This Row],[RX Pdc (W)]])),MAX(Table1[[#This Row],[TX Pdc (W)]],Table1[[#This Row],[RX Pdc (W)]])/Table1[[#This Row],[Array Aperture Size (cm2)]],"N/A")</f>
        <v>#VALUE!</v>
      </c>
      <c r="W44" s="1">
        <f>IF(OR(ISNUMBER(Table1[[#This Row],[TX Pdc (W)]]), ISNUMBER(Table1[[#This Row],[RX Pdc (W)]])),MAX(Table1[[#This Row],[TX Pdc (W)]],Table1[[#This Row],[RX Pdc (W)]])/(Table1[[#This Row],['# of Array Tile]]*Table1[[#This Row],['# of IC per Tile]])/(Table1[[#This Row],[Chip Size (mm2)]]*0.01),"N/A")</f>
        <v>7.7922077922077913</v>
      </c>
      <c r="X44" s="23"/>
      <c r="Y44" s="1">
        <v>1</v>
      </c>
      <c r="Z44" s="1" t="s">
        <v>27</v>
      </c>
      <c r="AA44" s="1" t="s">
        <v>27</v>
      </c>
      <c r="AB44" s="1">
        <v>1</v>
      </c>
      <c r="AC44" s="1" t="s">
        <v>27</v>
      </c>
      <c r="AD44" s="1"/>
      <c r="AE44" s="1">
        <v>1</v>
      </c>
      <c r="AF44" s="1" t="s">
        <v>27</v>
      </c>
      <c r="AG44" s="1" t="s">
        <v>27</v>
      </c>
      <c r="AH44" s="1" t="e">
        <f t="shared" si="16"/>
        <v>#VALUE!</v>
      </c>
      <c r="AI44" s="1" t="e">
        <f t="shared" si="17"/>
        <v>#VALUE!</v>
      </c>
      <c r="AJ44" s="1">
        <v>1.4</v>
      </c>
      <c r="AK44" s="1">
        <v>0.55000000000000004</v>
      </c>
      <c r="AL44" s="1">
        <f>Table1[[#This Row],[Chip Size -X (mm)]]*Table1[[#This Row],[Chip Size - Y (mm)]]</f>
        <v>0.77</v>
      </c>
      <c r="AM44" s="1">
        <v>1.4</v>
      </c>
      <c r="AN44" s="1">
        <v>0.55000000000000004</v>
      </c>
      <c r="AO44" s="1">
        <f t="shared" si="18"/>
        <v>1.54</v>
      </c>
      <c r="AP44" s="2"/>
      <c r="AQ44" s="1"/>
      <c r="AR44" s="1"/>
      <c r="AS44" s="1"/>
      <c r="AT44" s="1">
        <v>6.1</v>
      </c>
      <c r="AU44" s="1">
        <v>35.200000000000003</v>
      </c>
      <c r="AV44" s="1"/>
      <c r="AW44" s="1">
        <v>60</v>
      </c>
      <c r="AX44" s="1"/>
    </row>
    <row r="45" spans="1:50" x14ac:dyDescent="0.2">
      <c r="A45" s="1" t="s">
        <v>31</v>
      </c>
      <c r="B45" s="1">
        <v>2019</v>
      </c>
      <c r="C45" s="1">
        <v>6</v>
      </c>
      <c r="D45" s="1" t="s">
        <v>88</v>
      </c>
      <c r="E45" s="29" t="s">
        <v>87</v>
      </c>
      <c r="F45" s="1" t="s">
        <v>33</v>
      </c>
      <c r="G45" s="1" t="s">
        <v>51</v>
      </c>
      <c r="H45" s="1">
        <v>45</v>
      </c>
      <c r="I45" s="1">
        <v>43</v>
      </c>
      <c r="J45" s="1">
        <f t="shared" si="19"/>
        <v>1</v>
      </c>
      <c r="K45" s="1" t="s">
        <v>27</v>
      </c>
      <c r="L45" s="1">
        <f t="shared" si="14"/>
        <v>0</v>
      </c>
      <c r="M45" s="1">
        <f t="shared" si="15"/>
        <v>1</v>
      </c>
      <c r="N45" s="1"/>
      <c r="O45" s="1">
        <v>1</v>
      </c>
      <c r="P45" s="1" t="s">
        <v>222</v>
      </c>
      <c r="Q45" s="1"/>
      <c r="R45" s="1" t="str">
        <f t="shared" si="8"/>
        <v/>
      </c>
      <c r="S45" s="25" t="str">
        <f t="shared" si="9"/>
        <v>N/A</v>
      </c>
      <c r="T45" s="1" t="str">
        <f t="shared" si="12"/>
        <v>N/A</v>
      </c>
      <c r="U45" s="1">
        <f t="shared" si="13"/>
        <v>0.06</v>
      </c>
      <c r="V45" s="1" t="e">
        <f>IF(OR(ISNUMBER(Table1[[#This Row],[TX Pdc (W)]]), ISNUMBER(Table1[[#This Row],[RX Pdc (W)]])),MAX(Table1[[#This Row],[TX Pdc (W)]],Table1[[#This Row],[RX Pdc (W)]])/Table1[[#This Row],[Array Aperture Size (cm2)]],"N/A")</f>
        <v>#VALUE!</v>
      </c>
      <c r="W45" s="1">
        <f>IF(OR(ISNUMBER(Table1[[#This Row],[TX Pdc (W)]]), ISNUMBER(Table1[[#This Row],[RX Pdc (W)]])),MAX(Table1[[#This Row],[TX Pdc (W)]],Table1[[#This Row],[RX Pdc (W)]])/(Table1[[#This Row],['# of Array Tile]]*Table1[[#This Row],['# of IC per Tile]])/(Table1[[#This Row],[Chip Size (mm2)]]*0.01),"N/A")</f>
        <v>7.7922077922077913</v>
      </c>
      <c r="X45" s="23"/>
      <c r="Y45" s="1">
        <v>1</v>
      </c>
      <c r="Z45" s="1" t="s">
        <v>27</v>
      </c>
      <c r="AA45" s="1" t="s">
        <v>27</v>
      </c>
      <c r="AB45" s="1">
        <v>1</v>
      </c>
      <c r="AC45" s="1" t="s">
        <v>27</v>
      </c>
      <c r="AD45" s="1"/>
      <c r="AE45" s="1">
        <v>1</v>
      </c>
      <c r="AF45" s="1" t="s">
        <v>27</v>
      </c>
      <c r="AG45" s="1" t="s">
        <v>27</v>
      </c>
      <c r="AH45" s="1" t="e">
        <f t="shared" si="16"/>
        <v>#VALUE!</v>
      </c>
      <c r="AI45" s="1" t="e">
        <f t="shared" si="17"/>
        <v>#VALUE!</v>
      </c>
      <c r="AJ45" s="1">
        <v>1.4</v>
      </c>
      <c r="AK45" s="1">
        <v>0.55000000000000004</v>
      </c>
      <c r="AL45" s="1">
        <f>Table1[[#This Row],[Chip Size -X (mm)]]*Table1[[#This Row],[Chip Size - Y (mm)]]</f>
        <v>0.77</v>
      </c>
      <c r="AM45" s="1">
        <v>1.4</v>
      </c>
      <c r="AN45" s="1">
        <v>0.55000000000000004</v>
      </c>
      <c r="AO45" s="1">
        <f t="shared" si="18"/>
        <v>1.54</v>
      </c>
      <c r="AP45" s="2"/>
      <c r="AQ45" s="1"/>
      <c r="AR45" s="1"/>
      <c r="AS45" s="1"/>
      <c r="AT45" s="1">
        <v>6.1</v>
      </c>
      <c r="AU45" s="1">
        <v>35.200000000000003</v>
      </c>
      <c r="AV45" s="1"/>
      <c r="AW45" s="1">
        <v>60</v>
      </c>
      <c r="AX45" s="1"/>
    </row>
    <row r="46" spans="1:50" x14ac:dyDescent="0.2">
      <c r="A46" s="1" t="s">
        <v>31</v>
      </c>
      <c r="B46" s="1">
        <v>2019</v>
      </c>
      <c r="C46" s="1">
        <v>6</v>
      </c>
      <c r="D46" s="1" t="s">
        <v>90</v>
      </c>
      <c r="E46" s="29" t="s">
        <v>91</v>
      </c>
      <c r="F46" s="1" t="s">
        <v>35</v>
      </c>
      <c r="G46" s="1" t="s">
        <v>20</v>
      </c>
      <c r="H46" s="1">
        <v>65</v>
      </c>
      <c r="I46" s="1">
        <v>39</v>
      </c>
      <c r="J46" s="1">
        <f t="shared" si="19"/>
        <v>128</v>
      </c>
      <c r="K46" s="1">
        <v>2</v>
      </c>
      <c r="L46" s="1">
        <f t="shared" si="14"/>
        <v>64</v>
      </c>
      <c r="M46" s="1">
        <f t="shared" si="15"/>
        <v>64</v>
      </c>
      <c r="N46" s="1">
        <v>1</v>
      </c>
      <c r="O46" s="1">
        <v>1</v>
      </c>
      <c r="P46" s="1" t="s">
        <v>223</v>
      </c>
      <c r="Q46" s="1">
        <v>53</v>
      </c>
      <c r="R46" s="1">
        <f t="shared" si="8"/>
        <v>64</v>
      </c>
      <c r="S46" s="25">
        <f t="shared" si="9"/>
        <v>33.561799739838875</v>
      </c>
      <c r="T46" s="1">
        <f t="shared" si="12"/>
        <v>24</v>
      </c>
      <c r="U46" s="1">
        <f t="shared" si="13"/>
        <v>8</v>
      </c>
      <c r="V46" s="1">
        <f>IF(OR(ISNUMBER(Table1[[#This Row],[TX Pdc (W)]]), ISNUMBER(Table1[[#This Row],[RX Pdc (W)]])),MAX(Table1[[#This Row],[TX Pdc (W)]],Table1[[#This Row],[RX Pdc (W)]])/Table1[[#This Row],[Array Aperture Size (cm2)]],"N/A")</f>
        <v>2.4951267056530213</v>
      </c>
      <c r="W46" s="1">
        <f>IF(OR(ISNUMBER(Table1[[#This Row],[TX Pdc (W)]]), ISNUMBER(Table1[[#This Row],[RX Pdc (W)]])),MAX(Table1[[#This Row],[TX Pdc (W)]],Table1[[#This Row],[RX Pdc (W)]])/(Table1[[#This Row],['# of Array Tile]]*Table1[[#This Row],['# of IC per Tile]])/(Table1[[#This Row],[Chip Size (mm2)]]*0.01),"N/A")</f>
        <v>12.5</v>
      </c>
      <c r="X46" s="23"/>
      <c r="Y46" s="1">
        <v>4</v>
      </c>
      <c r="Z46" s="1" t="s">
        <v>223</v>
      </c>
      <c r="AA46" s="1">
        <v>16</v>
      </c>
      <c r="AB46" s="1">
        <v>4</v>
      </c>
      <c r="AC46" s="1" t="s">
        <v>309</v>
      </c>
      <c r="AD46" s="1">
        <v>4</v>
      </c>
      <c r="AE46" s="1">
        <v>4</v>
      </c>
      <c r="AF46" s="1">
        <v>4.2750000000000004</v>
      </c>
      <c r="AG46" s="1">
        <v>2.25</v>
      </c>
      <c r="AH46" s="1">
        <f t="shared" si="16"/>
        <v>9.6187500000000004</v>
      </c>
      <c r="AI46" s="1">
        <f t="shared" si="17"/>
        <v>15.029296875</v>
      </c>
      <c r="AJ46" s="1">
        <v>4</v>
      </c>
      <c r="AK46" s="1">
        <v>3</v>
      </c>
      <c r="AL46" s="1">
        <f>Table1[[#This Row],[Chip Size -X (mm)]]*Table1[[#This Row],[Chip Size - Y (mm)]]</f>
        <v>12</v>
      </c>
      <c r="AM46" s="1">
        <v>3.73</v>
      </c>
      <c r="AN46" s="1">
        <v>2.67</v>
      </c>
      <c r="AO46" s="1">
        <f t="shared" si="18"/>
        <v>2.4897749999999998</v>
      </c>
      <c r="AP46" s="2"/>
      <c r="AQ46" s="1">
        <v>15.5</v>
      </c>
      <c r="AR46" s="1"/>
      <c r="AS46" s="1"/>
      <c r="AT46" s="1">
        <v>7.7</v>
      </c>
      <c r="AU46" s="1"/>
      <c r="AV46" s="1">
        <f>1500/Table1[[#This Row],['# of TX Element per IC]]</f>
        <v>375</v>
      </c>
      <c r="AW46" s="1">
        <f>500/Table1[[#This Row],['# of RX Element per IC]]</f>
        <v>125</v>
      </c>
      <c r="AX46" s="1"/>
    </row>
    <row r="47" spans="1:50" x14ac:dyDescent="0.2">
      <c r="A47" s="1" t="s">
        <v>68</v>
      </c>
      <c r="B47" s="1">
        <v>2019</v>
      </c>
      <c r="C47" s="1">
        <v>9</v>
      </c>
      <c r="D47" s="1" t="s">
        <v>79</v>
      </c>
      <c r="E47" s="29" t="s">
        <v>237</v>
      </c>
      <c r="F47" s="1" t="s">
        <v>35</v>
      </c>
      <c r="G47" s="1" t="s">
        <v>17</v>
      </c>
      <c r="H47" s="1">
        <v>180</v>
      </c>
      <c r="I47" s="1">
        <v>90</v>
      </c>
      <c r="J47" s="1">
        <f t="shared" si="19"/>
        <v>384</v>
      </c>
      <c r="K47" s="1">
        <v>2</v>
      </c>
      <c r="L47" s="1">
        <f t="shared" si="14"/>
        <v>256</v>
      </c>
      <c r="M47" s="1">
        <f t="shared" si="15"/>
        <v>128</v>
      </c>
      <c r="N47" s="1">
        <v>1</v>
      </c>
      <c r="O47" s="1">
        <v>1</v>
      </c>
      <c r="P47" s="1" t="s">
        <v>224</v>
      </c>
      <c r="Q47" s="1">
        <v>60</v>
      </c>
      <c r="R47" s="1">
        <f t="shared" si="8"/>
        <v>384</v>
      </c>
      <c r="S47" s="25">
        <f t="shared" si="9"/>
        <v>32.0823996531185</v>
      </c>
      <c r="T47" s="1">
        <f t="shared" si="12"/>
        <v>70.400000000000006</v>
      </c>
      <c r="U47" s="1">
        <f t="shared" si="13"/>
        <v>28.8</v>
      </c>
      <c r="V47" s="1" t="e">
        <f>IF(OR(ISNUMBER(Table1[[#This Row],[TX Pdc (W)]]), ISNUMBER(Table1[[#This Row],[RX Pdc (W)]])),MAX(Table1[[#This Row],[TX Pdc (W)]],Table1[[#This Row],[RX Pdc (W)]])/Table1[[#This Row],[Array Aperture Size (cm2)]],"N/A")</f>
        <v>#REF!</v>
      </c>
      <c r="W47" s="1" t="e">
        <f>IF(OR(ISNUMBER(Table1[[#This Row],[TX Pdc (W)]]), ISNUMBER(Table1[[#This Row],[RX Pdc (W)]])),MAX(Table1[[#This Row],[TX Pdc (W)]],Table1[[#This Row],[RX Pdc (W)]])/(Table1[[#This Row],['# of Array Tile]]*Table1[[#This Row],['# of IC per Tile]])/(Table1[[#This Row],[Chip Size (mm2)]]*0.01),"N/A")</f>
        <v>#VALUE!</v>
      </c>
      <c r="X47" s="23"/>
      <c r="Y47" s="1">
        <v>16</v>
      </c>
      <c r="Z47" s="1" t="s">
        <v>227</v>
      </c>
      <c r="AA47" s="1">
        <v>24</v>
      </c>
      <c r="AB47" s="1">
        <v>1</v>
      </c>
      <c r="AC47" s="1" t="s">
        <v>310</v>
      </c>
      <c r="AD47" s="1">
        <v>16</v>
      </c>
      <c r="AE47" s="1">
        <v>8</v>
      </c>
      <c r="AF47" s="1" t="e">
        <f>4*#REF!</f>
        <v>#REF!</v>
      </c>
      <c r="AG47" s="1" t="e">
        <f>4*#REF!</f>
        <v>#REF!</v>
      </c>
      <c r="AH47" s="1" t="e">
        <f t="shared" si="16"/>
        <v>#REF!</v>
      </c>
      <c r="AI47" s="1" t="e">
        <f t="shared" si="17"/>
        <v>#REF!</v>
      </c>
      <c r="AJ47" s="1" t="s">
        <v>27</v>
      </c>
      <c r="AK47" s="1" t="s">
        <v>27</v>
      </c>
      <c r="AL47" s="1" t="e">
        <f>Table1[[#This Row],[Chip Size -X (mm)]]*Table1[[#This Row],[Chip Size - Y (mm)]]</f>
        <v>#VALUE!</v>
      </c>
      <c r="AM47" s="1" t="s">
        <v>27</v>
      </c>
      <c r="AN47" s="1" t="s">
        <v>27</v>
      </c>
      <c r="AO47" s="1" t="e">
        <f t="shared" si="18"/>
        <v>#VALUE!</v>
      </c>
      <c r="AP47" s="2"/>
      <c r="AQ47" s="1">
        <v>8</v>
      </c>
      <c r="AR47" s="1"/>
      <c r="AS47" s="1"/>
      <c r="AT47" s="1">
        <v>8</v>
      </c>
      <c r="AU47" s="1">
        <v>80</v>
      </c>
      <c r="AV47" s="1">
        <v>275</v>
      </c>
      <c r="AW47" s="1">
        <v>225</v>
      </c>
      <c r="AX47" s="1"/>
    </row>
    <row r="48" spans="1:50" x14ac:dyDescent="0.2">
      <c r="A48" s="1" t="s">
        <v>14</v>
      </c>
      <c r="B48" s="1">
        <v>2020</v>
      </c>
      <c r="C48" s="1">
        <v>2</v>
      </c>
      <c r="D48" s="1" t="s">
        <v>15</v>
      </c>
      <c r="E48" s="29" t="s">
        <v>13</v>
      </c>
      <c r="F48" s="1" t="s">
        <v>26</v>
      </c>
      <c r="G48" s="1" t="s">
        <v>17</v>
      </c>
      <c r="H48" s="1">
        <v>130</v>
      </c>
      <c r="I48" s="1">
        <v>420</v>
      </c>
      <c r="J48" s="1">
        <f t="shared" si="19"/>
        <v>64</v>
      </c>
      <c r="K48" s="1">
        <v>2</v>
      </c>
      <c r="L48" s="1">
        <f t="shared" si="14"/>
        <v>64</v>
      </c>
      <c r="M48" s="1">
        <f t="shared" si="15"/>
        <v>0</v>
      </c>
      <c r="N48" s="1">
        <v>1</v>
      </c>
      <c r="O48" s="1"/>
      <c r="P48" s="1" t="s">
        <v>218</v>
      </c>
      <c r="Q48" s="1">
        <v>32.799999999999997</v>
      </c>
      <c r="R48" s="1">
        <v>1</v>
      </c>
      <c r="S48" s="25">
        <v>9.1999999999999993</v>
      </c>
      <c r="T48" s="1">
        <f>10^(Table1[[#This Row],[Total Pout/Prad (dBm)]]/10)/(Table1[[#This Row],[TX Efficiency (%)]]/100)/1000</f>
        <v>4.3777040584351106</v>
      </c>
      <c r="U48" s="1" t="str">
        <f t="shared" si="13"/>
        <v>N/A</v>
      </c>
      <c r="V48" s="1" t="e">
        <f>IF(OR(ISNUMBER(Table1[[#This Row],[TX Pdc (W)]]), ISNUMBER(Table1[[#This Row],[RX Pdc (W)]])),MAX(Table1[[#This Row],[TX Pdc (W)]],Table1[[#This Row],[RX Pdc (W)]])/Table1[[#This Row],[Array Aperture Size (cm2)]],"N/A")</f>
        <v>#VALUE!</v>
      </c>
      <c r="W48" s="1">
        <f>IF(OR(ISNUMBER(Table1[[#This Row],[TX Pdc (W)]]), ISNUMBER(Table1[[#This Row],[RX Pdc (W)]])),MAX(Table1[[#This Row],[TX Pdc (W)]],Table1[[#This Row],[RX Pdc (W)]])/(Table1[[#This Row],['# of Array Tile]]*Table1[[#This Row],['# of IC per Tile]])/(Table1[[#This Row],[Chip Size (mm2)]]*0.01),"N/A")</f>
        <v>34.743683003453249</v>
      </c>
      <c r="X48" s="23"/>
      <c r="Y48" s="1">
        <v>1</v>
      </c>
      <c r="Z48" s="1" t="s">
        <v>230</v>
      </c>
      <c r="AA48" s="1">
        <v>64</v>
      </c>
      <c r="AB48" s="1">
        <v>1</v>
      </c>
      <c r="AC48" s="1" t="s">
        <v>27</v>
      </c>
      <c r="AD48" s="1">
        <v>64</v>
      </c>
      <c r="AE48" s="1"/>
      <c r="AF48" s="1" t="s">
        <v>27</v>
      </c>
      <c r="AG48" s="1" t="s">
        <v>27</v>
      </c>
      <c r="AH48" s="1" t="e">
        <f t="shared" si="16"/>
        <v>#VALUE!</v>
      </c>
      <c r="AI48" s="1" t="e">
        <f t="shared" si="17"/>
        <v>#VALUE!</v>
      </c>
      <c r="AJ48" s="1">
        <v>3</v>
      </c>
      <c r="AK48" s="1">
        <v>4.2</v>
      </c>
      <c r="AL48" s="1">
        <f>Table1[[#This Row],[Chip Size -X (mm)]]*Table1[[#This Row],[Chip Size - Y (mm)]]</f>
        <v>12.600000000000001</v>
      </c>
      <c r="AM48" s="1">
        <v>2.9</v>
      </c>
      <c r="AN48" s="1">
        <v>3.15</v>
      </c>
      <c r="AO48" s="1">
        <f t="shared" si="18"/>
        <v>0.28546874999999999</v>
      </c>
      <c r="AP48" s="2"/>
      <c r="AQ48" s="1">
        <v>-3.6</v>
      </c>
      <c r="AR48" s="1">
        <v>0.19</v>
      </c>
      <c r="AS48" s="1"/>
      <c r="AT48" s="1"/>
      <c r="AU48" s="1"/>
      <c r="AV48" s="1"/>
      <c r="AW48" s="1"/>
      <c r="AX48" s="1"/>
    </row>
    <row r="49" spans="1:50" x14ac:dyDescent="0.2">
      <c r="A49" s="1" t="s">
        <v>14</v>
      </c>
      <c r="B49" s="1">
        <v>2020</v>
      </c>
      <c r="C49" s="1">
        <v>2</v>
      </c>
      <c r="D49" s="1" t="s">
        <v>19</v>
      </c>
      <c r="E49" s="29" t="s">
        <v>18</v>
      </c>
      <c r="F49" s="1" t="s">
        <v>26</v>
      </c>
      <c r="G49" s="1" t="s">
        <v>20</v>
      </c>
      <c r="H49" s="1">
        <v>40</v>
      </c>
      <c r="I49" s="1">
        <v>586.70000000000005</v>
      </c>
      <c r="J49" s="1">
        <f t="shared" si="19"/>
        <v>36</v>
      </c>
      <c r="K49" s="1">
        <v>2</v>
      </c>
      <c r="L49" s="1">
        <f t="shared" si="14"/>
        <v>36</v>
      </c>
      <c r="M49" s="1">
        <f t="shared" si="15"/>
        <v>0</v>
      </c>
      <c r="N49" s="1">
        <v>1</v>
      </c>
      <c r="O49" s="1"/>
      <c r="P49" s="1" t="s">
        <v>218</v>
      </c>
      <c r="Q49" s="1">
        <v>24.1</v>
      </c>
      <c r="R49" s="1">
        <f t="shared" ref="R49:R59" si="20">IF(Q49="","",Y49*AA49)</f>
        <v>36</v>
      </c>
      <c r="S49" s="25">
        <v>0.1</v>
      </c>
      <c r="T49" s="1">
        <v>1.278</v>
      </c>
      <c r="U49" s="1" t="str">
        <f t="shared" si="13"/>
        <v>N/A</v>
      </c>
      <c r="V49" s="1" t="e">
        <f>IF(OR(ISNUMBER(Table1[[#This Row],[TX Pdc (W)]]), ISNUMBER(Table1[[#This Row],[RX Pdc (W)]])),MAX(Table1[[#This Row],[TX Pdc (W)]],Table1[[#This Row],[RX Pdc (W)]])/Table1[[#This Row],[Array Aperture Size (cm2)]],"N/A")</f>
        <v>#VALUE!</v>
      </c>
      <c r="W49" s="1">
        <f>IF(OR(ISNUMBER(Table1[[#This Row],[TX Pdc (W)]]), ISNUMBER(Table1[[#This Row],[RX Pdc (W)]])),MAX(Table1[[#This Row],[TX Pdc (W)]],Table1[[#This Row],[RX Pdc (W)]])/(Table1[[#This Row],['# of Array Tile]]*Table1[[#This Row],['# of IC per Tile]])/(Table1[[#This Row],[Chip Size (mm2)]]*0.01),"N/A")</f>
        <v>187.94117647058823</v>
      </c>
      <c r="X49" s="23"/>
      <c r="Y49" s="1">
        <v>1</v>
      </c>
      <c r="Z49" s="1" t="s">
        <v>230</v>
      </c>
      <c r="AA49" s="1">
        <v>36</v>
      </c>
      <c r="AB49" s="1">
        <v>1</v>
      </c>
      <c r="AC49" s="1" t="s">
        <v>27</v>
      </c>
      <c r="AD49" s="1">
        <v>36</v>
      </c>
      <c r="AE49" s="1"/>
      <c r="AF49" s="1" t="s">
        <v>27</v>
      </c>
      <c r="AG49" s="1" t="s">
        <v>27</v>
      </c>
      <c r="AH49" s="1" t="e">
        <f t="shared" si="16"/>
        <v>#VALUE!</v>
      </c>
      <c r="AI49" s="1" t="e">
        <f t="shared" si="17"/>
        <v>#VALUE!</v>
      </c>
      <c r="AJ49" s="1">
        <v>1</v>
      </c>
      <c r="AK49" s="1">
        <v>0.68</v>
      </c>
      <c r="AL49" s="1">
        <f>Table1[[#This Row],[Chip Size -X (mm)]]*Table1[[#This Row],[Chip Size - Y (mm)]]</f>
        <v>0.68</v>
      </c>
      <c r="AM49" s="1">
        <v>1</v>
      </c>
      <c r="AN49" s="1">
        <v>0.68</v>
      </c>
      <c r="AO49" s="1">
        <f t="shared" si="18"/>
        <v>3.7777777777777778E-2</v>
      </c>
      <c r="AP49" s="2"/>
      <c r="AQ49" s="1">
        <v>-15.5</v>
      </c>
      <c r="AR49" s="1">
        <v>0.08</v>
      </c>
      <c r="AS49" s="1"/>
      <c r="AT49" s="1"/>
      <c r="AU49" s="1"/>
      <c r="AV49" s="1"/>
      <c r="AW49" s="1"/>
      <c r="AX49" s="1"/>
    </row>
    <row r="50" spans="1:50" x14ac:dyDescent="0.2">
      <c r="A50" s="1" t="s">
        <v>14</v>
      </c>
      <c r="B50" s="1">
        <v>2020</v>
      </c>
      <c r="C50" s="1">
        <v>2</v>
      </c>
      <c r="D50" s="1" t="s">
        <v>29</v>
      </c>
      <c r="E50" s="29" t="s">
        <v>28</v>
      </c>
      <c r="F50" s="1" t="s">
        <v>26</v>
      </c>
      <c r="G50" s="1" t="s">
        <v>20</v>
      </c>
      <c r="H50" s="1">
        <v>65</v>
      </c>
      <c r="I50" s="1">
        <v>416</v>
      </c>
      <c r="J50" s="1">
        <f t="shared" si="19"/>
        <v>16</v>
      </c>
      <c r="K50" s="1">
        <v>2</v>
      </c>
      <c r="L50" s="1">
        <f t="shared" si="14"/>
        <v>16</v>
      </c>
      <c r="M50" s="1">
        <f t="shared" si="15"/>
        <v>0</v>
      </c>
      <c r="N50" s="1">
        <v>1</v>
      </c>
      <c r="O50" s="1"/>
      <c r="P50" s="1" t="s">
        <v>218</v>
      </c>
      <c r="Q50" s="1">
        <v>14</v>
      </c>
      <c r="R50" s="1">
        <f t="shared" si="20"/>
        <v>16</v>
      </c>
      <c r="S50" s="25">
        <f>IF(AQ50="","N/A",10*LOG10(10^(AQ50/10)*AD50*AB50*Y50))</f>
        <v>1.541199826559247</v>
      </c>
      <c r="T50" s="1">
        <f>IF(AV50="","N/A",AV50*AD50*AB50*Y50/1000)</f>
        <v>1.45</v>
      </c>
      <c r="U50" s="1" t="str">
        <f t="shared" si="13"/>
        <v>N/A</v>
      </c>
      <c r="V50" s="1" t="e">
        <f>IF(OR(ISNUMBER(Table1[[#This Row],[TX Pdc (W)]]), ISNUMBER(Table1[[#This Row],[RX Pdc (W)]])),MAX(Table1[[#This Row],[TX Pdc (W)]],Table1[[#This Row],[RX Pdc (W)]])/Table1[[#This Row],[Array Aperture Size (cm2)]],"N/A")</f>
        <v>#VALUE!</v>
      </c>
      <c r="W50" s="1">
        <f>IF(OR(ISNUMBER(Table1[[#This Row],[TX Pdc (W)]]), ISNUMBER(Table1[[#This Row],[RX Pdc (W)]])),MAX(Table1[[#This Row],[TX Pdc (W)]],Table1[[#This Row],[RX Pdc (W)]])/(Table1[[#This Row],['# of Array Tile]]*Table1[[#This Row],['# of IC per Tile]])/(Table1[[#This Row],[Chip Size (mm2)]]*0.01),"N/A")</f>
        <v>35.024154589371982</v>
      </c>
      <c r="X50" s="23"/>
      <c r="Y50" s="1">
        <v>1</v>
      </c>
      <c r="Z50" s="1" t="s">
        <v>218</v>
      </c>
      <c r="AA50" s="1">
        <v>16</v>
      </c>
      <c r="AB50" s="1">
        <v>1</v>
      </c>
      <c r="AC50" s="1" t="s">
        <v>27</v>
      </c>
      <c r="AD50" s="1">
        <v>16</v>
      </c>
      <c r="AE50" s="1"/>
      <c r="AF50" s="1" t="s">
        <v>27</v>
      </c>
      <c r="AG50" s="1" t="s">
        <v>27</v>
      </c>
      <c r="AH50" s="1" t="e">
        <f t="shared" si="16"/>
        <v>#VALUE!</v>
      </c>
      <c r="AI50" s="1" t="e">
        <f t="shared" si="17"/>
        <v>#VALUE!</v>
      </c>
      <c r="AJ50" s="1">
        <v>2.2999999999999998</v>
      </c>
      <c r="AK50" s="1">
        <v>1.8</v>
      </c>
      <c r="AL50" s="1">
        <f>Table1[[#This Row],[Chip Size -X (mm)]]*Table1[[#This Row],[Chip Size - Y (mm)]]</f>
        <v>4.1399999999999997</v>
      </c>
      <c r="AM50" s="1">
        <v>1.45</v>
      </c>
      <c r="AN50" s="1">
        <v>1.46</v>
      </c>
      <c r="AO50" s="1">
        <f t="shared" si="18"/>
        <v>0.264625</v>
      </c>
      <c r="AP50" s="2"/>
      <c r="AQ50" s="1">
        <v>-10.5</v>
      </c>
      <c r="AR50" s="1"/>
      <c r="AS50" s="1"/>
      <c r="AT50" s="1"/>
      <c r="AU50" s="1"/>
      <c r="AV50" s="1">
        <f>1450/16</f>
        <v>90.625</v>
      </c>
      <c r="AW50" s="1"/>
      <c r="AX50" s="1"/>
    </row>
    <row r="51" spans="1:50" x14ac:dyDescent="0.2">
      <c r="A51" s="1" t="s">
        <v>14</v>
      </c>
      <c r="B51" s="1">
        <v>2020</v>
      </c>
      <c r="C51" s="1">
        <v>2</v>
      </c>
      <c r="D51" s="1" t="s">
        <v>24</v>
      </c>
      <c r="E51" s="29" t="s">
        <v>23</v>
      </c>
      <c r="F51" s="1" t="s">
        <v>26</v>
      </c>
      <c r="G51" s="1" t="s">
        <v>20</v>
      </c>
      <c r="H51" s="1">
        <v>65</v>
      </c>
      <c r="I51" s="1">
        <v>490</v>
      </c>
      <c r="J51" s="1">
        <f t="shared" si="19"/>
        <v>1</v>
      </c>
      <c r="K51" s="1" t="s">
        <v>27</v>
      </c>
      <c r="L51" s="1">
        <f t="shared" si="14"/>
        <v>0</v>
      </c>
      <c r="M51" s="1">
        <f t="shared" si="15"/>
        <v>1</v>
      </c>
      <c r="N51" s="1"/>
      <c r="O51" s="1">
        <v>1</v>
      </c>
      <c r="P51" s="1" t="s">
        <v>218</v>
      </c>
      <c r="Q51" s="1"/>
      <c r="R51" s="1" t="str">
        <f t="shared" si="20"/>
        <v/>
      </c>
      <c r="S51" s="25" t="str">
        <f>IF(AQ51="","N/A",10*LOG10(10^(AQ51/10)*AD51*AB51*Y51))</f>
        <v>N/A</v>
      </c>
      <c r="T51" s="1" t="str">
        <f>IF(AV51="","N/A",AV51*AD51*AB51*Y51/1000)</f>
        <v>N/A</v>
      </c>
      <c r="U51" s="1">
        <f t="shared" si="13"/>
        <v>3.2000000000000001E-2</v>
      </c>
      <c r="V51" s="1" t="e">
        <f>IF(OR(ISNUMBER(Table1[[#This Row],[TX Pdc (W)]]), ISNUMBER(Table1[[#This Row],[RX Pdc (W)]])),MAX(Table1[[#This Row],[TX Pdc (W)]],Table1[[#This Row],[RX Pdc (W)]])/Table1[[#This Row],[Array Aperture Size (cm2)]],"N/A")</f>
        <v>#VALUE!</v>
      </c>
      <c r="W51" s="1">
        <f>IF(OR(ISNUMBER(Table1[[#This Row],[TX Pdc (W)]]), ISNUMBER(Table1[[#This Row],[RX Pdc (W)]])),MAX(Table1[[#This Row],[TX Pdc (W)]],Table1[[#This Row],[RX Pdc (W)]])/(Table1[[#This Row],['# of Array Tile]]*Table1[[#This Row],['# of IC per Tile]])/(Table1[[#This Row],[Chip Size (mm2)]]*0.01),"N/A")</f>
        <v>1.9550342130987293</v>
      </c>
      <c r="X51" s="23"/>
      <c r="Y51" s="1">
        <v>1</v>
      </c>
      <c r="Z51" s="1" t="s">
        <v>218</v>
      </c>
      <c r="AA51" s="1">
        <v>1</v>
      </c>
      <c r="AB51" s="1">
        <v>1</v>
      </c>
      <c r="AC51" s="1" t="s">
        <v>27</v>
      </c>
      <c r="AD51" s="1"/>
      <c r="AE51" s="1">
        <v>1</v>
      </c>
      <c r="AF51" s="1" t="s">
        <v>27</v>
      </c>
      <c r="AG51" s="1" t="s">
        <v>27</v>
      </c>
      <c r="AH51" s="1" t="e">
        <f t="shared" si="16"/>
        <v>#VALUE!</v>
      </c>
      <c r="AI51" s="1" t="e">
        <f t="shared" si="17"/>
        <v>#VALUE!</v>
      </c>
      <c r="AJ51" s="1">
        <v>1.7050000000000001</v>
      </c>
      <c r="AK51" s="1">
        <v>0.96</v>
      </c>
      <c r="AL51" s="1">
        <f>Table1[[#This Row],[Chip Size -X (mm)]]*Table1[[#This Row],[Chip Size - Y (mm)]]</f>
        <v>1.6368</v>
      </c>
      <c r="AM51" s="1">
        <v>1.45</v>
      </c>
      <c r="AN51" s="1">
        <v>0.77</v>
      </c>
      <c r="AO51" s="1">
        <f t="shared" si="18"/>
        <v>2.2330000000000001</v>
      </c>
      <c r="AP51" s="2"/>
      <c r="AQ51" s="1"/>
      <c r="AR51" s="1"/>
      <c r="AS51" s="1"/>
      <c r="AT51" s="1"/>
      <c r="AU51" s="1"/>
      <c r="AV51" s="1"/>
      <c r="AW51" s="1">
        <v>32</v>
      </c>
      <c r="AX51" s="1"/>
    </row>
    <row r="52" spans="1:50" x14ac:dyDescent="0.2">
      <c r="A52" s="1" t="s">
        <v>14</v>
      </c>
      <c r="B52" s="1">
        <v>2020</v>
      </c>
      <c r="C52" s="1">
        <v>2</v>
      </c>
      <c r="D52" s="1" t="s">
        <v>22</v>
      </c>
      <c r="E52" s="29" t="s">
        <v>21</v>
      </c>
      <c r="F52" s="1" t="s">
        <v>26</v>
      </c>
      <c r="G52" s="1" t="s">
        <v>20</v>
      </c>
      <c r="H52" s="1">
        <v>40</v>
      </c>
      <c r="I52" s="1">
        <v>670</v>
      </c>
      <c r="J52" s="1">
        <f t="shared" si="19"/>
        <v>8</v>
      </c>
      <c r="K52" s="1">
        <v>2</v>
      </c>
      <c r="L52" s="1">
        <f t="shared" si="14"/>
        <v>8</v>
      </c>
      <c r="M52" s="1">
        <f t="shared" si="15"/>
        <v>0</v>
      </c>
      <c r="N52" s="1">
        <v>1</v>
      </c>
      <c r="O52" s="1"/>
      <c r="P52" s="1" t="s">
        <v>218</v>
      </c>
      <c r="Q52" s="1">
        <v>7.1</v>
      </c>
      <c r="R52" s="1">
        <f t="shared" si="20"/>
        <v>8</v>
      </c>
      <c r="S52" s="25">
        <v>-16.100000000000001</v>
      </c>
      <c r="T52" s="1">
        <v>9.9699999999999997E-2</v>
      </c>
      <c r="U52" s="1" t="str">
        <f t="shared" si="13"/>
        <v>N/A</v>
      </c>
      <c r="V52" s="1" t="e">
        <f>IF(OR(ISNUMBER(Table1[[#This Row],[TX Pdc (W)]]), ISNUMBER(Table1[[#This Row],[RX Pdc (W)]])),MAX(Table1[[#This Row],[TX Pdc (W)]],Table1[[#This Row],[RX Pdc (W)]])/Table1[[#This Row],[Array Aperture Size (cm2)]],"N/A")</f>
        <v>#VALUE!</v>
      </c>
      <c r="W52" s="1">
        <f>IF(OR(ISNUMBER(Table1[[#This Row],[TX Pdc (W)]]), ISNUMBER(Table1[[#This Row],[RX Pdc (W)]])),MAX(Table1[[#This Row],[TX Pdc (W)]],Table1[[#This Row],[RX Pdc (W)]])/(Table1[[#This Row],['# of Array Tile]]*Table1[[#This Row],['# of IC per Tile]])/(Table1[[#This Row],[Chip Size (mm2)]]*0.01),"N/A")</f>
        <v>11.559420289855073</v>
      </c>
      <c r="X52" s="23"/>
      <c r="Y52" s="1">
        <v>1</v>
      </c>
      <c r="Z52" s="1" t="s">
        <v>230</v>
      </c>
      <c r="AA52" s="1">
        <v>8</v>
      </c>
      <c r="AB52" s="1">
        <v>1</v>
      </c>
      <c r="AC52" s="1" t="s">
        <v>27</v>
      </c>
      <c r="AD52" s="1">
        <v>8</v>
      </c>
      <c r="AE52" s="1"/>
      <c r="AF52" s="1" t="s">
        <v>27</v>
      </c>
      <c r="AG52" s="1" t="s">
        <v>27</v>
      </c>
      <c r="AH52" s="1" t="e">
        <f t="shared" si="16"/>
        <v>#VALUE!</v>
      </c>
      <c r="AI52" s="1" t="e">
        <f t="shared" si="17"/>
        <v>#VALUE!</v>
      </c>
      <c r="AJ52" s="1">
        <v>1.1499999999999999</v>
      </c>
      <c r="AK52" s="1">
        <v>0.75</v>
      </c>
      <c r="AL52" s="1">
        <f>Table1[[#This Row],[Chip Size -X (mm)]]*Table1[[#This Row],[Chip Size - Y (mm)]]</f>
        <v>0.86249999999999993</v>
      </c>
      <c r="AM52" s="1">
        <v>0.8</v>
      </c>
      <c r="AN52" s="1">
        <v>0.4</v>
      </c>
      <c r="AO52" s="1">
        <f t="shared" si="18"/>
        <v>8.0000000000000016E-2</v>
      </c>
      <c r="AP52" s="2"/>
      <c r="AQ52" s="1"/>
      <c r="AR52" s="1"/>
      <c r="AS52" s="1"/>
      <c r="AT52" s="1"/>
      <c r="AU52" s="1"/>
      <c r="AV52" s="1"/>
      <c r="AW52" s="1"/>
      <c r="AX52" s="1"/>
    </row>
    <row r="53" spans="1:50" x14ac:dyDescent="0.2">
      <c r="A53" s="1" t="s">
        <v>31</v>
      </c>
      <c r="B53" s="1">
        <v>2020</v>
      </c>
      <c r="C53" s="1">
        <v>8</v>
      </c>
      <c r="D53" s="1" t="s">
        <v>84</v>
      </c>
      <c r="E53" s="29" t="s">
        <v>83</v>
      </c>
      <c r="F53" s="1" t="s">
        <v>35</v>
      </c>
      <c r="G53" s="1" t="s">
        <v>17</v>
      </c>
      <c r="H53" s="1">
        <v>90</v>
      </c>
      <c r="I53" s="1">
        <v>75</v>
      </c>
      <c r="J53" s="1">
        <f t="shared" si="19"/>
        <v>32</v>
      </c>
      <c r="K53" s="1">
        <v>2</v>
      </c>
      <c r="L53" s="1">
        <f t="shared" si="14"/>
        <v>16</v>
      </c>
      <c r="M53" s="1">
        <f t="shared" si="15"/>
        <v>16</v>
      </c>
      <c r="N53" s="1">
        <v>1</v>
      </c>
      <c r="O53" s="1">
        <v>1</v>
      </c>
      <c r="P53" s="1" t="s">
        <v>223</v>
      </c>
      <c r="Q53" s="1">
        <v>30</v>
      </c>
      <c r="R53" s="1">
        <f t="shared" si="20"/>
        <v>16</v>
      </c>
      <c r="S53" s="25">
        <f t="shared" ref="S53:S79" si="21">IF(AQ53="","N/A",10*LOG10(10^(AQ53/10)*AD53*AB53*Y53))</f>
        <v>20.04119982655925</v>
      </c>
      <c r="T53" s="1">
        <f t="shared" ref="T53:T73" si="22">IF(AV53="","N/A",AV53*AD53*AB53*Y53/1000)</f>
        <v>4</v>
      </c>
      <c r="U53" s="1">
        <f t="shared" si="13"/>
        <v>2.56</v>
      </c>
      <c r="V53" s="1">
        <f>IF(OR(ISNUMBER(Table1[[#This Row],[TX Pdc (W)]]), ISNUMBER(Table1[[#This Row],[RX Pdc (W)]])),MAX(Table1[[#This Row],[TX Pdc (W)]],Table1[[#This Row],[RX Pdc (W)]])/Table1[[#This Row],[Array Aperture Size (cm2)]],"N/A")</f>
        <v>4.898958971218617</v>
      </c>
      <c r="W53" s="1">
        <f>IF(OR(ISNUMBER(Table1[[#This Row],[TX Pdc (W)]]), ISNUMBER(Table1[[#This Row],[RX Pdc (W)]])),MAX(Table1[[#This Row],[TX Pdc (W)]],Table1[[#This Row],[RX Pdc (W)]])/(Table1[[#This Row],['# of Array Tile]]*Table1[[#This Row],['# of IC per Tile]])/(Table1[[#This Row],[Chip Size (mm2)]]*0.01),"N/A")</f>
        <v>7.7639751552795033</v>
      </c>
      <c r="X53" s="23"/>
      <c r="Y53" s="1">
        <v>1</v>
      </c>
      <c r="Z53" s="1" t="s">
        <v>223</v>
      </c>
      <c r="AA53" s="1">
        <v>16</v>
      </c>
      <c r="AB53" s="1">
        <v>4</v>
      </c>
      <c r="AC53" s="1" t="s">
        <v>309</v>
      </c>
      <c r="AD53" s="1">
        <v>4</v>
      </c>
      <c r="AE53" s="1">
        <v>4</v>
      </c>
      <c r="AF53" s="1">
        <v>1.1499999999999999</v>
      </c>
      <c r="AG53" s="1">
        <v>0.71</v>
      </c>
      <c r="AH53" s="1">
        <f t="shared" si="16"/>
        <v>0.81649999999999989</v>
      </c>
      <c r="AI53" s="1">
        <f t="shared" si="17"/>
        <v>5.1031249999999995</v>
      </c>
      <c r="AJ53" s="1">
        <v>4.5999999999999996</v>
      </c>
      <c r="AK53" s="1">
        <v>2.8</v>
      </c>
      <c r="AL53" s="1">
        <f>Table1[[#This Row],[Chip Size -X (mm)]]*Table1[[#This Row],[Chip Size - Y (mm)]]</f>
        <v>12.879999999999999</v>
      </c>
      <c r="AM53" s="1">
        <v>4.22</v>
      </c>
      <c r="AN53" s="1">
        <v>2.7</v>
      </c>
      <c r="AO53" s="1">
        <f t="shared" si="18"/>
        <v>2.8485</v>
      </c>
      <c r="AP53" s="2"/>
      <c r="AQ53" s="1">
        <v>8</v>
      </c>
      <c r="AR53" s="1"/>
      <c r="AS53" s="1"/>
      <c r="AT53" s="1">
        <v>9</v>
      </c>
      <c r="AU53" s="1">
        <v>32</v>
      </c>
      <c r="AV53" s="1">
        <v>250</v>
      </c>
      <c r="AW53" s="1">
        <v>160</v>
      </c>
      <c r="AX53" s="1"/>
    </row>
    <row r="54" spans="1:50" x14ac:dyDescent="0.2">
      <c r="A54" s="1" t="s">
        <v>31</v>
      </c>
      <c r="B54" s="1">
        <v>2020</v>
      </c>
      <c r="C54" s="1">
        <v>8</v>
      </c>
      <c r="D54" s="1" t="s">
        <v>105</v>
      </c>
      <c r="E54" s="29" t="s">
        <v>106</v>
      </c>
      <c r="F54" s="1" t="s">
        <v>35</v>
      </c>
      <c r="G54" s="1" t="s">
        <v>17</v>
      </c>
      <c r="H54" s="1">
        <v>130</v>
      </c>
      <c r="I54" s="1">
        <v>135</v>
      </c>
      <c r="J54" s="1">
        <f t="shared" si="19"/>
        <v>2</v>
      </c>
      <c r="K54" s="1" t="s">
        <v>27</v>
      </c>
      <c r="L54" s="1">
        <f t="shared" si="14"/>
        <v>1</v>
      </c>
      <c r="M54" s="1">
        <f t="shared" si="15"/>
        <v>1</v>
      </c>
      <c r="N54" s="1">
        <v>1</v>
      </c>
      <c r="O54" s="1">
        <v>1</v>
      </c>
      <c r="P54" s="1" t="s">
        <v>222</v>
      </c>
      <c r="Q54" s="1"/>
      <c r="R54" s="1" t="str">
        <f t="shared" si="20"/>
        <v/>
      </c>
      <c r="S54" s="25">
        <f t="shared" si="21"/>
        <v>13.000000000000004</v>
      </c>
      <c r="T54" s="1">
        <f t="shared" si="22"/>
        <v>1.35</v>
      </c>
      <c r="U54" s="1">
        <f t="shared" si="13"/>
        <v>1</v>
      </c>
      <c r="V54" s="1" t="e">
        <f>IF(OR(ISNUMBER(Table1[[#This Row],[TX Pdc (W)]]), ISNUMBER(Table1[[#This Row],[RX Pdc (W)]])),MAX(Table1[[#This Row],[TX Pdc (W)]],Table1[[#This Row],[RX Pdc (W)]])/Table1[[#This Row],[Array Aperture Size (cm2)]],"N/A")</f>
        <v>#VALUE!</v>
      </c>
      <c r="W54" s="1">
        <f>IF(OR(ISNUMBER(Table1[[#This Row],[TX Pdc (W)]]), ISNUMBER(Table1[[#This Row],[RX Pdc (W)]])),MAX(Table1[[#This Row],[TX Pdc (W)]],Table1[[#This Row],[RX Pdc (W)]])/(Table1[[#This Row],['# of Array Tile]]*Table1[[#This Row],['# of IC per Tile]])/(Table1[[#This Row],[Chip Size (mm2)]]*0.01),"N/A")</f>
        <v>11.538461538461538</v>
      </c>
      <c r="X54" s="23"/>
      <c r="Y54" s="1">
        <v>1</v>
      </c>
      <c r="Z54" s="1" t="s">
        <v>27</v>
      </c>
      <c r="AA54" s="1" t="s">
        <v>27</v>
      </c>
      <c r="AB54" s="1">
        <v>1</v>
      </c>
      <c r="AC54" s="1" t="s">
        <v>310</v>
      </c>
      <c r="AD54" s="1">
        <v>1</v>
      </c>
      <c r="AE54" s="1">
        <v>1</v>
      </c>
      <c r="AF54" s="1" t="s">
        <v>27</v>
      </c>
      <c r="AG54" s="1" t="s">
        <v>27</v>
      </c>
      <c r="AH54" s="1" t="e">
        <f t="shared" si="16"/>
        <v>#VALUE!</v>
      </c>
      <c r="AI54" s="1" t="e">
        <f t="shared" si="17"/>
        <v>#VALUE!</v>
      </c>
      <c r="AJ54" s="1">
        <v>2.6</v>
      </c>
      <c r="AK54" s="1">
        <v>4.5</v>
      </c>
      <c r="AL54" s="1">
        <f>Table1[[#This Row],[Chip Size -X (mm)]]*Table1[[#This Row],[Chip Size - Y (mm)]]</f>
        <v>11.700000000000001</v>
      </c>
      <c r="AM54" s="1">
        <v>2.17</v>
      </c>
      <c r="AN54" s="1">
        <v>4.0999999999999996</v>
      </c>
      <c r="AO54" s="1">
        <f t="shared" si="18"/>
        <v>8.8969999999999985</v>
      </c>
      <c r="AP54" s="2"/>
      <c r="AQ54" s="1">
        <v>13</v>
      </c>
      <c r="AR54" s="1"/>
      <c r="AS54" s="1">
        <v>17</v>
      </c>
      <c r="AT54" s="1">
        <v>7.2</v>
      </c>
      <c r="AU54" s="1">
        <v>65</v>
      </c>
      <c r="AV54" s="1">
        <v>1350</v>
      </c>
      <c r="AW54" s="1">
        <v>1000</v>
      </c>
      <c r="AX54" s="1"/>
    </row>
    <row r="55" spans="1:50" x14ac:dyDescent="0.2">
      <c r="A55" s="1" t="s">
        <v>31</v>
      </c>
      <c r="B55" s="1">
        <v>2020</v>
      </c>
      <c r="C55" s="1">
        <v>8</v>
      </c>
      <c r="D55" s="1" t="s">
        <v>105</v>
      </c>
      <c r="E55" s="29" t="s">
        <v>106</v>
      </c>
      <c r="F55" s="1" t="s">
        <v>35</v>
      </c>
      <c r="G55" s="1" t="s">
        <v>17</v>
      </c>
      <c r="H55" s="1">
        <v>130</v>
      </c>
      <c r="I55" s="1">
        <v>150</v>
      </c>
      <c r="J55" s="1">
        <f t="shared" si="19"/>
        <v>2</v>
      </c>
      <c r="K55" s="1" t="s">
        <v>27</v>
      </c>
      <c r="L55" s="1">
        <f t="shared" si="14"/>
        <v>1</v>
      </c>
      <c r="M55" s="1">
        <f t="shared" si="15"/>
        <v>1</v>
      </c>
      <c r="N55" s="1">
        <v>1</v>
      </c>
      <c r="O55" s="1">
        <v>1</v>
      </c>
      <c r="P55" s="1" t="s">
        <v>222</v>
      </c>
      <c r="Q55" s="1"/>
      <c r="R55" s="1" t="str">
        <f t="shared" si="20"/>
        <v/>
      </c>
      <c r="S55" s="25">
        <f t="shared" si="21"/>
        <v>13.000000000000004</v>
      </c>
      <c r="T55" s="1">
        <f t="shared" si="22"/>
        <v>2.1</v>
      </c>
      <c r="U55" s="1">
        <f t="shared" si="13"/>
        <v>1.3</v>
      </c>
      <c r="V55" s="1" t="e">
        <f>IF(OR(ISNUMBER(Table1[[#This Row],[TX Pdc (W)]]), ISNUMBER(Table1[[#This Row],[RX Pdc (W)]])),MAX(Table1[[#This Row],[TX Pdc (W)]],Table1[[#This Row],[RX Pdc (W)]])/Table1[[#This Row],[Array Aperture Size (cm2)]],"N/A")</f>
        <v>#VALUE!</v>
      </c>
      <c r="W55" s="1">
        <f>IF(OR(ISNUMBER(Table1[[#This Row],[TX Pdc (W)]]), ISNUMBER(Table1[[#This Row],[RX Pdc (W)]])),MAX(Table1[[#This Row],[TX Pdc (W)]],Table1[[#This Row],[RX Pdc (W)]])/(Table1[[#This Row],['# of Array Tile]]*Table1[[#This Row],['# of IC per Tile]])/(Table1[[#This Row],[Chip Size (mm2)]]*0.01),"N/A")</f>
        <v>17.948717948717949</v>
      </c>
      <c r="X55" s="23"/>
      <c r="Y55" s="1">
        <v>1</v>
      </c>
      <c r="Z55" s="1" t="s">
        <v>27</v>
      </c>
      <c r="AA55" s="1" t="s">
        <v>27</v>
      </c>
      <c r="AB55" s="1">
        <v>1</v>
      </c>
      <c r="AC55" s="1" t="s">
        <v>310</v>
      </c>
      <c r="AD55" s="1">
        <v>1</v>
      </c>
      <c r="AE55" s="1">
        <v>1</v>
      </c>
      <c r="AF55" s="1" t="s">
        <v>27</v>
      </c>
      <c r="AG55" s="1" t="s">
        <v>27</v>
      </c>
      <c r="AH55" s="1" t="e">
        <f t="shared" si="16"/>
        <v>#VALUE!</v>
      </c>
      <c r="AI55" s="1" t="e">
        <f t="shared" si="17"/>
        <v>#VALUE!</v>
      </c>
      <c r="AJ55" s="1">
        <v>2.6</v>
      </c>
      <c r="AK55" s="1">
        <v>4.5</v>
      </c>
      <c r="AL55" s="1">
        <f>Table1[[#This Row],[Chip Size -X (mm)]]*Table1[[#This Row],[Chip Size - Y (mm)]]</f>
        <v>11.700000000000001</v>
      </c>
      <c r="AM55" s="1">
        <v>2.17</v>
      </c>
      <c r="AN55" s="1">
        <v>4.0999999999999996</v>
      </c>
      <c r="AO55" s="1">
        <f t="shared" si="18"/>
        <v>8.8969999999999985</v>
      </c>
      <c r="AP55" s="2"/>
      <c r="AQ55" s="1">
        <v>13</v>
      </c>
      <c r="AR55" s="1"/>
      <c r="AS55" s="1">
        <v>18</v>
      </c>
      <c r="AT55" s="1">
        <v>8</v>
      </c>
      <c r="AU55" s="1">
        <v>65</v>
      </c>
      <c r="AV55" s="1">
        <v>2100</v>
      </c>
      <c r="AW55" s="1">
        <v>1300</v>
      </c>
      <c r="AX55" s="1"/>
    </row>
    <row r="56" spans="1:50" x14ac:dyDescent="0.2">
      <c r="A56" s="1" t="s">
        <v>31</v>
      </c>
      <c r="B56" s="1">
        <v>2020</v>
      </c>
      <c r="C56" s="1">
        <v>8</v>
      </c>
      <c r="D56" s="1" t="s">
        <v>32</v>
      </c>
      <c r="E56" s="29" t="s">
        <v>30</v>
      </c>
      <c r="F56" s="1" t="s">
        <v>33</v>
      </c>
      <c r="G56" s="1" t="s">
        <v>17</v>
      </c>
      <c r="H56" s="1">
        <v>130</v>
      </c>
      <c r="I56" s="1">
        <v>500</v>
      </c>
      <c r="J56" s="1">
        <f t="shared" si="19"/>
        <v>1</v>
      </c>
      <c r="K56" s="1" t="s">
        <v>27</v>
      </c>
      <c r="L56" s="1">
        <f t="shared" si="14"/>
        <v>0</v>
      </c>
      <c r="M56" s="1">
        <f t="shared" si="15"/>
        <v>1</v>
      </c>
      <c r="N56" s="1"/>
      <c r="O56" s="1">
        <v>1</v>
      </c>
      <c r="P56" s="1" t="s">
        <v>218</v>
      </c>
      <c r="Q56" s="1"/>
      <c r="R56" s="1" t="str">
        <f t="shared" si="20"/>
        <v/>
      </c>
      <c r="S56" s="25" t="str">
        <f t="shared" si="21"/>
        <v>N/A</v>
      </c>
      <c r="T56" s="1" t="str">
        <f t="shared" si="22"/>
        <v>N/A</v>
      </c>
      <c r="U56" s="1">
        <f t="shared" si="13"/>
        <v>5.1999999999999998E-2</v>
      </c>
      <c r="V56" s="1" t="e">
        <f>IF(OR(ISNUMBER(Table1[[#This Row],[TX Pdc (W)]]), ISNUMBER(Table1[[#This Row],[RX Pdc (W)]])),MAX(Table1[[#This Row],[TX Pdc (W)]],Table1[[#This Row],[RX Pdc (W)]])/Table1[[#This Row],[Array Aperture Size (cm2)]],"N/A")</f>
        <v>#VALUE!</v>
      </c>
      <c r="W56" s="1">
        <f>IF(OR(ISNUMBER(Table1[[#This Row],[TX Pdc (W)]]), ISNUMBER(Table1[[#This Row],[RX Pdc (W)]])),MAX(Table1[[#This Row],[TX Pdc (W)]],Table1[[#This Row],[RX Pdc (W)]])/(Table1[[#This Row],['# of Array Tile]]*Table1[[#This Row],['# of IC per Tile]])/(Table1[[#This Row],[Chip Size (mm2)]]*0.01),"N/A")</f>
        <v>10.833333333333334</v>
      </c>
      <c r="X56" s="23"/>
      <c r="Y56" s="1">
        <v>1</v>
      </c>
      <c r="Z56" s="1" t="s">
        <v>230</v>
      </c>
      <c r="AA56" s="1">
        <v>1</v>
      </c>
      <c r="AB56" s="1">
        <v>1</v>
      </c>
      <c r="AC56" s="1" t="s">
        <v>27</v>
      </c>
      <c r="AD56" s="1"/>
      <c r="AE56" s="1">
        <v>1</v>
      </c>
      <c r="AF56" s="1" t="s">
        <v>27</v>
      </c>
      <c r="AG56" s="1" t="s">
        <v>27</v>
      </c>
      <c r="AH56" s="1" t="e">
        <f t="shared" si="16"/>
        <v>#VALUE!</v>
      </c>
      <c r="AI56" s="1" t="e">
        <f t="shared" si="17"/>
        <v>#VALUE!</v>
      </c>
      <c r="AJ56" s="1">
        <v>0.8</v>
      </c>
      <c r="AK56" s="1">
        <v>0.6</v>
      </c>
      <c r="AL56" s="1">
        <f>Table1[[#This Row],[Chip Size -X (mm)]]*Table1[[#This Row],[Chip Size - Y (mm)]]</f>
        <v>0.48</v>
      </c>
      <c r="AM56" s="1">
        <v>0.68</v>
      </c>
      <c r="AN56" s="1">
        <v>0.37</v>
      </c>
      <c r="AO56" s="1">
        <f t="shared" si="18"/>
        <v>0.50319999999999998</v>
      </c>
      <c r="AP56" s="2"/>
      <c r="AQ56" s="1"/>
      <c r="AR56" s="1"/>
      <c r="AS56" s="1"/>
      <c r="AT56" s="1"/>
      <c r="AU56" s="1">
        <v>-55</v>
      </c>
      <c r="AV56" s="1"/>
      <c r="AW56" s="1">
        <v>52</v>
      </c>
      <c r="AX56" s="1"/>
    </row>
    <row r="57" spans="1:50" x14ac:dyDescent="0.2">
      <c r="A57" s="1" t="s">
        <v>31</v>
      </c>
      <c r="B57" s="1">
        <v>2020</v>
      </c>
      <c r="C57" s="1">
        <v>8</v>
      </c>
      <c r="D57" s="1" t="s">
        <v>53</v>
      </c>
      <c r="E57" s="29" t="s">
        <v>52</v>
      </c>
      <c r="F57" s="1" t="s">
        <v>41</v>
      </c>
      <c r="G57" s="1" t="s">
        <v>20</v>
      </c>
      <c r="H57" s="1">
        <v>28</v>
      </c>
      <c r="I57" s="1">
        <v>390</v>
      </c>
      <c r="J57" s="1">
        <f t="shared" si="19"/>
        <v>1</v>
      </c>
      <c r="K57" s="1" t="s">
        <v>27</v>
      </c>
      <c r="L57" s="1">
        <f t="shared" si="14"/>
        <v>1</v>
      </c>
      <c r="M57" s="1">
        <f t="shared" si="15"/>
        <v>0</v>
      </c>
      <c r="N57" s="1">
        <v>1</v>
      </c>
      <c r="O57" s="1"/>
      <c r="P57" s="1" t="s">
        <v>222</v>
      </c>
      <c r="Q57" s="1"/>
      <c r="R57" s="1" t="str">
        <f t="shared" si="20"/>
        <v/>
      </c>
      <c r="S57" s="25">
        <f t="shared" si="21"/>
        <v>-5.4</v>
      </c>
      <c r="T57" s="1">
        <f t="shared" si="22"/>
        <v>0.114</v>
      </c>
      <c r="U57" s="1" t="str">
        <f t="shared" si="13"/>
        <v>N/A</v>
      </c>
      <c r="V57" s="1" t="e">
        <f>IF(OR(ISNUMBER(Table1[[#This Row],[TX Pdc (W)]]), ISNUMBER(Table1[[#This Row],[RX Pdc (W)]])),MAX(Table1[[#This Row],[TX Pdc (W)]],Table1[[#This Row],[RX Pdc (W)]])/Table1[[#This Row],[Array Aperture Size (cm2)]],"N/A")</f>
        <v>#VALUE!</v>
      </c>
      <c r="W57" s="1">
        <f>IF(OR(ISNUMBER(Table1[[#This Row],[TX Pdc (W)]]), ISNUMBER(Table1[[#This Row],[RX Pdc (W)]])),MAX(Table1[[#This Row],[TX Pdc (W)]],Table1[[#This Row],[RX Pdc (W)]])/(Table1[[#This Row],['# of Array Tile]]*Table1[[#This Row],['# of IC per Tile]])/(Table1[[#This Row],[Chip Size (mm2)]]*0.01),"N/A")</f>
        <v>29.320987654320987</v>
      </c>
      <c r="X57" s="23"/>
      <c r="Y57" s="1">
        <v>1</v>
      </c>
      <c r="Z57" s="1" t="s">
        <v>27</v>
      </c>
      <c r="AA57" s="1" t="s">
        <v>27</v>
      </c>
      <c r="AB57" s="1">
        <v>1</v>
      </c>
      <c r="AC57" s="1" t="s">
        <v>27</v>
      </c>
      <c r="AD57" s="1">
        <v>1</v>
      </c>
      <c r="AE57" s="1"/>
      <c r="AF57" s="1" t="s">
        <v>27</v>
      </c>
      <c r="AG57" s="1" t="s">
        <v>27</v>
      </c>
      <c r="AH57" s="1" t="e">
        <f t="shared" si="16"/>
        <v>#VALUE!</v>
      </c>
      <c r="AI57" s="1" t="e">
        <f t="shared" si="17"/>
        <v>#VALUE!</v>
      </c>
      <c r="AJ57" s="1">
        <v>0.72</v>
      </c>
      <c r="AK57" s="1">
        <v>0.54</v>
      </c>
      <c r="AL57" s="1">
        <f>Table1[[#This Row],[Chip Size -X (mm)]]*Table1[[#This Row],[Chip Size - Y (mm)]]</f>
        <v>0.38880000000000003</v>
      </c>
      <c r="AM57" s="1">
        <v>0.45</v>
      </c>
      <c r="AN57" s="1">
        <v>0.13</v>
      </c>
      <c r="AO57" s="1">
        <f t="shared" si="18"/>
        <v>0.11700000000000001</v>
      </c>
      <c r="AP57" s="2"/>
      <c r="AQ57" s="1">
        <v>-5.4</v>
      </c>
      <c r="AR57" s="1"/>
      <c r="AS57" s="1"/>
      <c r="AT57" s="1"/>
      <c r="AU57" s="1"/>
      <c r="AV57" s="1">
        <v>114</v>
      </c>
      <c r="AW57" s="1"/>
      <c r="AX57" s="1"/>
    </row>
    <row r="58" spans="1:50" x14ac:dyDescent="0.2">
      <c r="A58" s="1" t="s">
        <v>31</v>
      </c>
      <c r="B58" s="1">
        <v>2020</v>
      </c>
      <c r="C58" s="1">
        <v>8</v>
      </c>
      <c r="D58" s="1" t="s">
        <v>61</v>
      </c>
      <c r="E58" s="29" t="s">
        <v>60</v>
      </c>
      <c r="F58" s="1" t="s">
        <v>62</v>
      </c>
      <c r="G58" s="1" t="s">
        <v>17</v>
      </c>
      <c r="H58" s="1">
        <v>130</v>
      </c>
      <c r="I58" s="1">
        <v>140</v>
      </c>
      <c r="J58" s="1">
        <f t="shared" si="19"/>
        <v>128</v>
      </c>
      <c r="K58" s="1" t="s">
        <v>27</v>
      </c>
      <c r="L58" s="1">
        <f t="shared" si="14"/>
        <v>128</v>
      </c>
      <c r="M58" s="1">
        <f t="shared" si="15"/>
        <v>0</v>
      </c>
      <c r="N58" s="1">
        <v>1</v>
      </c>
      <c r="O58" s="1"/>
      <c r="P58" s="1" t="s">
        <v>224</v>
      </c>
      <c r="Q58" s="1"/>
      <c r="R58" s="1" t="str">
        <f t="shared" si="20"/>
        <v/>
      </c>
      <c r="S58" s="25">
        <f t="shared" si="21"/>
        <v>30.872099696478688</v>
      </c>
      <c r="T58" s="1">
        <f t="shared" si="22"/>
        <v>42.24</v>
      </c>
      <c r="U58" s="1" t="str">
        <f t="shared" si="13"/>
        <v>N/A</v>
      </c>
      <c r="V58" s="1" t="e">
        <f>IF(OR(ISNUMBER(Table1[[#This Row],[TX Pdc (W)]]), ISNUMBER(Table1[[#This Row],[RX Pdc (W)]])),MAX(Table1[[#This Row],[TX Pdc (W)]],Table1[[#This Row],[RX Pdc (W)]])/Table1[[#This Row],[Array Aperture Size (cm2)]],"N/A")</f>
        <v>#VALUE!</v>
      </c>
      <c r="W58" s="1">
        <f>IF(OR(ISNUMBER(Table1[[#This Row],[TX Pdc (W)]]), ISNUMBER(Table1[[#This Row],[RX Pdc (W)]])),MAX(Table1[[#This Row],[TX Pdc (W)]],Table1[[#This Row],[RX Pdc (W)]])/(Table1[[#This Row],['# of Array Tile]]*Table1[[#This Row],['# of IC per Tile]])/(Table1[[#This Row],[Chip Size (mm2)]]*0.01),"N/A")</f>
        <v>16.78876678876679</v>
      </c>
      <c r="X58" s="23"/>
      <c r="Y58" s="1">
        <v>1</v>
      </c>
      <c r="Z58" s="1" t="s">
        <v>228</v>
      </c>
      <c r="AA58" s="1">
        <v>128</v>
      </c>
      <c r="AB58" s="1">
        <v>128</v>
      </c>
      <c r="AC58" s="1" t="s">
        <v>27</v>
      </c>
      <c r="AD58" s="1">
        <v>1</v>
      </c>
      <c r="AE58" s="1"/>
      <c r="AF58" s="1" t="s">
        <v>27</v>
      </c>
      <c r="AG58" s="1" t="s">
        <v>27</v>
      </c>
      <c r="AH58" s="1" t="e">
        <f t="shared" si="16"/>
        <v>#VALUE!</v>
      </c>
      <c r="AI58" s="1" t="e">
        <f t="shared" si="17"/>
        <v>#VALUE!</v>
      </c>
      <c r="AJ58" s="1">
        <v>1.56</v>
      </c>
      <c r="AK58" s="1">
        <v>1.26</v>
      </c>
      <c r="AL58" s="1">
        <f>Table1[[#This Row],[Chip Size -X (mm)]]*Table1[[#This Row],[Chip Size - Y (mm)]]</f>
        <v>1.9656</v>
      </c>
      <c r="AM58" s="1">
        <v>1.4</v>
      </c>
      <c r="AN58" s="1">
        <v>0.72</v>
      </c>
      <c r="AO58" s="1">
        <f t="shared" si="18"/>
        <v>2.016</v>
      </c>
      <c r="AP58" s="2"/>
      <c r="AQ58" s="1">
        <v>9.8000000000000007</v>
      </c>
      <c r="AR58" s="1"/>
      <c r="AS58" s="1"/>
      <c r="AT58" s="1"/>
      <c r="AU58" s="1"/>
      <c r="AV58" s="1">
        <v>330</v>
      </c>
      <c r="AW58" s="1"/>
      <c r="AX58" s="1"/>
    </row>
    <row r="59" spans="1:50" x14ac:dyDescent="0.2">
      <c r="A59" s="1" t="s">
        <v>31</v>
      </c>
      <c r="B59" s="1">
        <v>2020</v>
      </c>
      <c r="C59" s="1">
        <v>8</v>
      </c>
      <c r="D59" s="1" t="s">
        <v>61</v>
      </c>
      <c r="E59" s="29" t="s">
        <v>60</v>
      </c>
      <c r="F59" s="1" t="s">
        <v>63</v>
      </c>
      <c r="G59" s="1" t="s">
        <v>17</v>
      </c>
      <c r="H59" s="1">
        <v>130</v>
      </c>
      <c r="I59" s="1">
        <v>150</v>
      </c>
      <c r="J59" s="1">
        <f t="shared" si="19"/>
        <v>128</v>
      </c>
      <c r="K59" s="1" t="s">
        <v>27</v>
      </c>
      <c r="L59" s="1">
        <f t="shared" si="14"/>
        <v>0</v>
      </c>
      <c r="M59" s="1">
        <f t="shared" si="15"/>
        <v>128</v>
      </c>
      <c r="N59" s="1"/>
      <c r="O59" s="1">
        <v>1</v>
      </c>
      <c r="P59" s="1" t="s">
        <v>224</v>
      </c>
      <c r="Q59" s="1"/>
      <c r="R59" s="1" t="str">
        <f t="shared" si="20"/>
        <v/>
      </c>
      <c r="S59" s="25" t="str">
        <f t="shared" si="21"/>
        <v>N/A</v>
      </c>
      <c r="T59" s="1" t="str">
        <f t="shared" si="22"/>
        <v>N/A</v>
      </c>
      <c r="U59" s="1">
        <f t="shared" si="13"/>
        <v>21.12</v>
      </c>
      <c r="V59" s="1" t="e">
        <f>IF(OR(ISNUMBER(Table1[[#This Row],[TX Pdc (W)]]), ISNUMBER(Table1[[#This Row],[RX Pdc (W)]])),MAX(Table1[[#This Row],[TX Pdc (W)]],Table1[[#This Row],[RX Pdc (W)]])/Table1[[#This Row],[Array Aperture Size (cm2)]],"N/A")</f>
        <v>#VALUE!</v>
      </c>
      <c r="W59" s="1">
        <f>IF(OR(ISNUMBER(Table1[[#This Row],[TX Pdc (W)]]), ISNUMBER(Table1[[#This Row],[RX Pdc (W)]])),MAX(Table1[[#This Row],[TX Pdc (W)]],Table1[[#This Row],[RX Pdc (W)]])/(Table1[[#This Row],['# of Array Tile]]*Table1[[#This Row],['# of IC per Tile]])/(Table1[[#This Row],[Chip Size (mm2)]]*0.01),"N/A")</f>
        <v>8.3943833943833948</v>
      </c>
      <c r="X59" s="23"/>
      <c r="Y59" s="1">
        <v>1</v>
      </c>
      <c r="Z59" s="1" t="s">
        <v>228</v>
      </c>
      <c r="AA59" s="1">
        <v>128</v>
      </c>
      <c r="AB59" s="1">
        <v>128</v>
      </c>
      <c r="AC59" s="1" t="s">
        <v>27</v>
      </c>
      <c r="AD59" s="1"/>
      <c r="AE59" s="1">
        <v>1</v>
      </c>
      <c r="AF59" s="1" t="s">
        <v>27</v>
      </c>
      <c r="AG59" s="1" t="s">
        <v>27</v>
      </c>
      <c r="AH59" s="1" t="e">
        <f t="shared" si="16"/>
        <v>#VALUE!</v>
      </c>
      <c r="AI59" s="1" t="e">
        <f t="shared" si="17"/>
        <v>#VALUE!</v>
      </c>
      <c r="AJ59" s="1">
        <v>1.56</v>
      </c>
      <c r="AK59" s="1">
        <v>1.26</v>
      </c>
      <c r="AL59" s="1">
        <f>Table1[[#This Row],[Chip Size -X (mm)]]*Table1[[#This Row],[Chip Size - Y (mm)]]</f>
        <v>1.9656</v>
      </c>
      <c r="AM59" s="1">
        <v>1.4</v>
      </c>
      <c r="AN59" s="1">
        <v>0.7</v>
      </c>
      <c r="AO59" s="1">
        <f t="shared" si="18"/>
        <v>1.9599999999999997</v>
      </c>
      <c r="AP59" s="2"/>
      <c r="AQ59" s="1"/>
      <c r="AR59" s="1"/>
      <c r="AS59" s="1"/>
      <c r="AT59" s="1">
        <v>10</v>
      </c>
      <c r="AU59" s="1">
        <v>22</v>
      </c>
      <c r="AV59" s="1"/>
      <c r="AW59" s="1">
        <v>165</v>
      </c>
      <c r="AX59" s="1"/>
    </row>
    <row r="60" spans="1:50" x14ac:dyDescent="0.2">
      <c r="A60" s="1" t="s">
        <v>68</v>
      </c>
      <c r="B60" s="1">
        <v>2020</v>
      </c>
      <c r="C60" s="1">
        <v>9</v>
      </c>
      <c r="D60" s="1" t="s">
        <v>98</v>
      </c>
      <c r="E60" s="29" t="s">
        <v>97</v>
      </c>
      <c r="F60" s="1" t="s">
        <v>77</v>
      </c>
      <c r="G60" s="1" t="s">
        <v>20</v>
      </c>
      <c r="H60" s="1">
        <v>65</v>
      </c>
      <c r="I60" s="1">
        <v>28</v>
      </c>
      <c r="J60" s="1">
        <f t="shared" si="19"/>
        <v>128</v>
      </c>
      <c r="K60" s="1">
        <v>2</v>
      </c>
      <c r="L60" s="1">
        <f t="shared" si="14"/>
        <v>64</v>
      </c>
      <c r="M60" s="1">
        <f t="shared" si="15"/>
        <v>64</v>
      </c>
      <c r="N60" s="1">
        <v>2</v>
      </c>
      <c r="O60" s="1">
        <v>2</v>
      </c>
      <c r="P60" s="1" t="s">
        <v>223</v>
      </c>
      <c r="Q60" s="1">
        <v>45.6</v>
      </c>
      <c r="R60" s="1">
        <v>32</v>
      </c>
      <c r="S60" s="25">
        <f t="shared" si="21"/>
        <v>33.16179973983887</v>
      </c>
      <c r="T60" s="1">
        <f t="shared" si="22"/>
        <v>16.128</v>
      </c>
      <c r="U60" s="1">
        <f t="shared" si="13"/>
        <v>7.1680000000000001</v>
      </c>
      <c r="V60" s="1">
        <f>IF(OR(ISNUMBER(Table1[[#This Row],[TX Pdc (W)]]), ISNUMBER(Table1[[#This Row],[RX Pdc (W)]])),MAX(Table1[[#This Row],[TX Pdc (W)]],Table1[[#This Row],[RX Pdc (W)]])/Table1[[#This Row],[Array Aperture Size (cm2)]],"N/A")</f>
        <v>0.48</v>
      </c>
      <c r="W60" s="1">
        <f>IF(OR(ISNUMBER(Table1[[#This Row],[TX Pdc (W)]]), ISNUMBER(Table1[[#This Row],[RX Pdc (W)]])),MAX(Table1[[#This Row],[TX Pdc (W)]],Table1[[#This Row],[RX Pdc (W)]])/(Table1[[#This Row],['# of Array Tile]]*Table1[[#This Row],['# of IC per Tile]])/(Table1[[#This Row],[Chip Size (mm2)]]*0.01),"N/A")</f>
        <v>8.4</v>
      </c>
      <c r="X60" s="23"/>
      <c r="Y60" s="1">
        <v>4</v>
      </c>
      <c r="Z60" s="1" t="s">
        <v>223</v>
      </c>
      <c r="AA60" s="1">
        <v>16</v>
      </c>
      <c r="AB60" s="1">
        <v>4</v>
      </c>
      <c r="AC60" s="1" t="s">
        <v>309</v>
      </c>
      <c r="AD60" s="1">
        <v>4</v>
      </c>
      <c r="AE60" s="1">
        <v>4</v>
      </c>
      <c r="AF60" s="1">
        <v>9.6</v>
      </c>
      <c r="AG60" s="1">
        <v>3.5</v>
      </c>
      <c r="AH60" s="1">
        <f t="shared" si="16"/>
        <v>33.6</v>
      </c>
      <c r="AI60" s="1">
        <f t="shared" si="17"/>
        <v>52.5</v>
      </c>
      <c r="AJ60" s="1">
        <v>4</v>
      </c>
      <c r="AK60" s="1">
        <v>3</v>
      </c>
      <c r="AL60" s="1">
        <f>Table1[[#This Row],[Chip Size -X (mm)]]*Table1[[#This Row],[Chip Size - Y (mm)]]</f>
        <v>12</v>
      </c>
      <c r="AM60" s="1">
        <v>3.75</v>
      </c>
      <c r="AN60" s="1">
        <v>2.62</v>
      </c>
      <c r="AO60" s="1">
        <f t="shared" si="18"/>
        <v>2.4562500000000003</v>
      </c>
      <c r="AP60" s="2"/>
      <c r="AQ60" s="1">
        <v>15.1</v>
      </c>
      <c r="AR60" s="1"/>
      <c r="AS60" s="1"/>
      <c r="AT60" s="1">
        <v>4.2</v>
      </c>
      <c r="AU60" s="1"/>
      <c r="AV60" s="1">
        <v>252</v>
      </c>
      <c r="AW60" s="1">
        <v>112</v>
      </c>
      <c r="AX60" s="1"/>
    </row>
    <row r="61" spans="1:50" x14ac:dyDescent="0.2">
      <c r="A61" s="1" t="s">
        <v>49</v>
      </c>
      <c r="B61" s="1">
        <v>2021</v>
      </c>
      <c r="C61" s="1">
        <v>1</v>
      </c>
      <c r="D61" s="1" t="s">
        <v>134</v>
      </c>
      <c r="E61" s="29" t="s">
        <v>259</v>
      </c>
      <c r="F61" s="1" t="s">
        <v>77</v>
      </c>
      <c r="G61" s="1" t="s">
        <v>17</v>
      </c>
      <c r="H61" s="1">
        <v>180</v>
      </c>
      <c r="I61" s="1">
        <v>28</v>
      </c>
      <c r="J61" s="1">
        <f t="shared" si="19"/>
        <v>128</v>
      </c>
      <c r="K61" s="1">
        <v>2</v>
      </c>
      <c r="L61" s="1">
        <f t="shared" si="14"/>
        <v>64</v>
      </c>
      <c r="M61" s="1">
        <f t="shared" si="15"/>
        <v>64</v>
      </c>
      <c r="N61" s="1">
        <v>1</v>
      </c>
      <c r="O61" s="1">
        <v>1</v>
      </c>
      <c r="P61" s="1" t="s">
        <v>223</v>
      </c>
      <c r="Q61" s="1">
        <v>52</v>
      </c>
      <c r="R61" s="1">
        <f t="shared" ref="R61:R66" si="23">IF(Q61="","",Y61*AA61)</f>
        <v>64</v>
      </c>
      <c r="S61" s="25">
        <f t="shared" si="21"/>
        <v>30.061799739838872</v>
      </c>
      <c r="T61" s="1" t="str">
        <f t="shared" si="22"/>
        <v>N/A</v>
      </c>
      <c r="U61" s="1" t="str">
        <f t="shared" si="13"/>
        <v>N/A</v>
      </c>
      <c r="V61" s="1" t="str">
        <f>IF(OR(ISNUMBER(Table1[[#This Row],[TX Pdc (W)]]), ISNUMBER(Table1[[#This Row],[RX Pdc (W)]])),MAX(Table1[[#This Row],[TX Pdc (W)]],Table1[[#This Row],[RX Pdc (W)]])/Table1[[#This Row],[Array Aperture Size (cm2)]],"N/A")</f>
        <v>N/A</v>
      </c>
      <c r="W61" s="1" t="str">
        <f>IF(OR(ISNUMBER(Table1[[#This Row],[TX Pdc (W)]]), ISNUMBER(Table1[[#This Row],[RX Pdc (W)]])),MAX(Table1[[#This Row],[TX Pdc (W)]],Table1[[#This Row],[RX Pdc (W)]])/(Table1[[#This Row],['# of Array Tile]]*Table1[[#This Row],['# of IC per Tile]])/(Table1[[#This Row],[Chip Size (mm2)]]*0.01),"N/A")</f>
        <v>N/A</v>
      </c>
      <c r="X61" s="23"/>
      <c r="Y61" s="1">
        <v>1</v>
      </c>
      <c r="Z61" s="1" t="s">
        <v>223</v>
      </c>
      <c r="AA61" s="1">
        <v>64</v>
      </c>
      <c r="AB61" s="1">
        <v>16</v>
      </c>
      <c r="AC61" s="1" t="s">
        <v>309</v>
      </c>
      <c r="AD61" s="1">
        <v>4</v>
      </c>
      <c r="AE61" s="1">
        <v>4</v>
      </c>
      <c r="AF61" s="1">
        <v>4</v>
      </c>
      <c r="AG61" s="1">
        <v>4</v>
      </c>
      <c r="AH61" s="1">
        <f t="shared" si="16"/>
        <v>16</v>
      </c>
      <c r="AI61" s="1">
        <f t="shared" si="17"/>
        <v>25</v>
      </c>
      <c r="AJ61" s="1" t="s">
        <v>27</v>
      </c>
      <c r="AK61" s="1" t="s">
        <v>27</v>
      </c>
      <c r="AL61" s="1" t="e">
        <f>Table1[[#This Row],[Chip Size -X (mm)]]*Table1[[#This Row],[Chip Size - Y (mm)]]</f>
        <v>#VALUE!</v>
      </c>
      <c r="AM61" s="1" t="s">
        <v>27</v>
      </c>
      <c r="AN61" s="1" t="s">
        <v>27</v>
      </c>
      <c r="AO61" s="1" t="e">
        <f t="shared" si="18"/>
        <v>#VALUE!</v>
      </c>
      <c r="AP61" s="2"/>
      <c r="AQ61" s="1">
        <v>12</v>
      </c>
      <c r="AR61" s="1"/>
      <c r="AS61" s="1"/>
      <c r="AT61" s="1">
        <v>4.8</v>
      </c>
      <c r="AU61" s="1"/>
      <c r="AV61" s="1"/>
      <c r="AW61" s="1"/>
      <c r="AX61" s="1"/>
    </row>
    <row r="62" spans="1:50" x14ac:dyDescent="0.2">
      <c r="A62" s="1" t="s">
        <v>49</v>
      </c>
      <c r="B62" s="1">
        <v>2021</v>
      </c>
      <c r="C62" s="1">
        <v>1</v>
      </c>
      <c r="D62" s="1" t="s">
        <v>262</v>
      </c>
      <c r="E62" s="29" t="s">
        <v>261</v>
      </c>
      <c r="F62" s="1" t="s">
        <v>77</v>
      </c>
      <c r="G62" s="1" t="s">
        <v>17</v>
      </c>
      <c r="H62" s="1">
        <v>180</v>
      </c>
      <c r="I62" s="1">
        <v>29.5</v>
      </c>
      <c r="J62" s="1">
        <f t="shared" si="19"/>
        <v>128</v>
      </c>
      <c r="K62" s="1">
        <v>2</v>
      </c>
      <c r="L62" s="1">
        <f t="shared" si="14"/>
        <v>64</v>
      </c>
      <c r="M62" s="1">
        <f t="shared" si="15"/>
        <v>64</v>
      </c>
      <c r="N62" s="1">
        <v>1</v>
      </c>
      <c r="O62" s="1">
        <v>1</v>
      </c>
      <c r="P62" s="1" t="s">
        <v>223</v>
      </c>
      <c r="Q62" s="1">
        <v>54.8</v>
      </c>
      <c r="R62" s="1">
        <f t="shared" si="23"/>
        <v>64</v>
      </c>
      <c r="S62" s="25">
        <f t="shared" si="21"/>
        <v>34.061799739838875</v>
      </c>
      <c r="T62" s="1">
        <f t="shared" si="22"/>
        <v>21.76</v>
      </c>
      <c r="U62" s="1">
        <f t="shared" si="13"/>
        <v>9.984</v>
      </c>
      <c r="V62" s="1">
        <f>IF(OR(ISNUMBER(Table1[[#This Row],[TX Pdc (W)]]), ISNUMBER(Table1[[#This Row],[RX Pdc (W)]])),MAX(Table1[[#This Row],[TX Pdc (W)]],Table1[[#This Row],[RX Pdc (W)]])/Table1[[#This Row],[Array Aperture Size (cm2)]],"N/A")</f>
        <v>1.1001011122345805</v>
      </c>
      <c r="W62" s="1" t="e">
        <f>IF(OR(ISNUMBER(Table1[[#This Row],[TX Pdc (W)]]), ISNUMBER(Table1[[#This Row],[RX Pdc (W)]])),MAX(Table1[[#This Row],[TX Pdc (W)]],Table1[[#This Row],[RX Pdc (W)]])/(Table1[[#This Row],['# of Array Tile]]*Table1[[#This Row],['# of IC per Tile]])/(Table1[[#This Row],[Chip Size (mm2)]]*0.01),"N/A")</f>
        <v>#VALUE!</v>
      </c>
      <c r="X62" s="23"/>
      <c r="Y62" s="1">
        <v>1</v>
      </c>
      <c r="Z62" s="1" t="s">
        <v>223</v>
      </c>
      <c r="AA62" s="1">
        <v>64</v>
      </c>
      <c r="AB62" s="1">
        <v>16</v>
      </c>
      <c r="AC62" s="1" t="s">
        <v>309</v>
      </c>
      <c r="AD62" s="1">
        <v>4</v>
      </c>
      <c r="AE62" s="1">
        <v>4</v>
      </c>
      <c r="AF62" s="1">
        <v>4.3</v>
      </c>
      <c r="AG62" s="1">
        <v>4.5999999999999996</v>
      </c>
      <c r="AH62" s="1">
        <f t="shared" si="16"/>
        <v>19.779999999999998</v>
      </c>
      <c r="AI62" s="1">
        <f t="shared" si="17"/>
        <v>30.906249999999996</v>
      </c>
      <c r="AJ62" s="1" t="s">
        <v>27</v>
      </c>
      <c r="AK62" s="1" t="s">
        <v>27</v>
      </c>
      <c r="AL62" s="1" t="e">
        <f>Table1[[#This Row],[Chip Size -X (mm)]]*Table1[[#This Row],[Chip Size - Y (mm)]]</f>
        <v>#VALUE!</v>
      </c>
      <c r="AM62" s="1" t="s">
        <v>27</v>
      </c>
      <c r="AN62" s="1" t="s">
        <v>27</v>
      </c>
      <c r="AO62" s="1" t="e">
        <f t="shared" si="18"/>
        <v>#VALUE!</v>
      </c>
      <c r="AP62" s="2"/>
      <c r="AQ62" s="1">
        <v>16</v>
      </c>
      <c r="AR62" s="1">
        <v>8.6199999999999992</v>
      </c>
      <c r="AS62" s="1">
        <v>22</v>
      </c>
      <c r="AT62" s="1">
        <v>5.5</v>
      </c>
      <c r="AU62" s="1">
        <v>19</v>
      </c>
      <c r="AV62" s="1">
        <v>340</v>
      </c>
      <c r="AW62" s="1">
        <v>156</v>
      </c>
      <c r="AX62" s="1"/>
    </row>
    <row r="63" spans="1:50" x14ac:dyDescent="0.2">
      <c r="A63" s="1" t="s">
        <v>14</v>
      </c>
      <c r="B63" s="1">
        <v>2021</v>
      </c>
      <c r="C63" s="1">
        <v>2</v>
      </c>
      <c r="D63" s="1" t="s">
        <v>40</v>
      </c>
      <c r="E63" s="29" t="s">
        <v>39</v>
      </c>
      <c r="F63" s="1" t="s">
        <v>41</v>
      </c>
      <c r="G63" s="1" t="s">
        <v>20</v>
      </c>
      <c r="H63" s="1">
        <v>40</v>
      </c>
      <c r="I63" s="1">
        <v>420</v>
      </c>
      <c r="J63" s="1">
        <f t="shared" si="19"/>
        <v>1</v>
      </c>
      <c r="K63" s="1" t="s">
        <v>27</v>
      </c>
      <c r="L63" s="1">
        <f t="shared" si="14"/>
        <v>1</v>
      </c>
      <c r="M63" s="1">
        <f t="shared" si="15"/>
        <v>0</v>
      </c>
      <c r="N63" s="1">
        <v>1</v>
      </c>
      <c r="O63" s="1"/>
      <c r="P63" s="1" t="s">
        <v>218</v>
      </c>
      <c r="Q63" s="1">
        <v>10</v>
      </c>
      <c r="R63" s="1">
        <f t="shared" si="23"/>
        <v>1</v>
      </c>
      <c r="S63" s="25">
        <f t="shared" si="21"/>
        <v>-9.0000000000000018</v>
      </c>
      <c r="T63" s="1">
        <f t="shared" si="22"/>
        <v>0.30399999999999999</v>
      </c>
      <c r="U63" s="1" t="str">
        <f t="shared" si="13"/>
        <v>N/A</v>
      </c>
      <c r="V63" s="1" t="e">
        <f>IF(OR(ISNUMBER(Table1[[#This Row],[TX Pdc (W)]]), ISNUMBER(Table1[[#This Row],[RX Pdc (W)]])),MAX(Table1[[#This Row],[TX Pdc (W)]],Table1[[#This Row],[RX Pdc (W)]])/Table1[[#This Row],[Array Aperture Size (cm2)]],"N/A")</f>
        <v>#VALUE!</v>
      </c>
      <c r="W63" s="1">
        <f>IF(OR(ISNUMBER(Table1[[#This Row],[TX Pdc (W)]]), ISNUMBER(Table1[[#This Row],[RX Pdc (W)]])),MAX(Table1[[#This Row],[TX Pdc (W)]],Table1[[#This Row],[RX Pdc (W)]])/(Table1[[#This Row],['# of Array Tile]]*Table1[[#This Row],['# of IC per Tile]])/(Table1[[#This Row],[Chip Size (mm2)]]*0.01),"N/A")</f>
        <v>15.194681861348529</v>
      </c>
      <c r="X63" s="23"/>
      <c r="Y63" s="1">
        <v>1</v>
      </c>
      <c r="Z63" s="1" t="s">
        <v>218</v>
      </c>
      <c r="AA63" s="1">
        <v>1</v>
      </c>
      <c r="AB63" s="1">
        <v>1</v>
      </c>
      <c r="AC63" s="1" t="s">
        <v>27</v>
      </c>
      <c r="AD63" s="1">
        <v>1</v>
      </c>
      <c r="AE63" s="1"/>
      <c r="AF63" s="1" t="s">
        <v>27</v>
      </c>
      <c r="AG63" s="1" t="s">
        <v>27</v>
      </c>
      <c r="AH63" s="1" t="e">
        <f t="shared" si="16"/>
        <v>#VALUE!</v>
      </c>
      <c r="AI63" s="1" t="e">
        <f t="shared" si="17"/>
        <v>#VALUE!</v>
      </c>
      <c r="AJ63" s="1">
        <v>1.71</v>
      </c>
      <c r="AK63" s="1">
        <v>1.17</v>
      </c>
      <c r="AL63" s="1">
        <f>Table1[[#This Row],[Chip Size -X (mm)]]*Table1[[#This Row],[Chip Size - Y (mm)]]</f>
        <v>2.0006999999999997</v>
      </c>
      <c r="AM63" s="1">
        <v>1.53</v>
      </c>
      <c r="AN63" s="1">
        <v>0.44</v>
      </c>
      <c r="AO63" s="1">
        <f t="shared" si="18"/>
        <v>1.3464</v>
      </c>
      <c r="AP63" s="2"/>
      <c r="AQ63" s="1">
        <v>-9</v>
      </c>
      <c r="AR63" s="1"/>
      <c r="AS63" s="1"/>
      <c r="AT63" s="1"/>
      <c r="AU63" s="1"/>
      <c r="AV63" s="1">
        <v>304</v>
      </c>
      <c r="AW63" s="1"/>
      <c r="AX63" s="1"/>
    </row>
    <row r="64" spans="1:50" x14ac:dyDescent="0.2">
      <c r="A64" s="1" t="s">
        <v>14</v>
      </c>
      <c r="B64" s="1">
        <v>2021</v>
      </c>
      <c r="C64" s="1">
        <v>2</v>
      </c>
      <c r="D64" s="1" t="s">
        <v>40</v>
      </c>
      <c r="E64" s="29" t="s">
        <v>39</v>
      </c>
      <c r="F64" s="1" t="s">
        <v>33</v>
      </c>
      <c r="G64" s="1" t="s">
        <v>20</v>
      </c>
      <c r="H64" s="1">
        <v>40</v>
      </c>
      <c r="I64" s="1">
        <v>420</v>
      </c>
      <c r="J64" s="1">
        <f t="shared" si="19"/>
        <v>1</v>
      </c>
      <c r="K64" s="1" t="s">
        <v>27</v>
      </c>
      <c r="L64" s="1">
        <f t="shared" si="14"/>
        <v>0</v>
      </c>
      <c r="M64" s="1">
        <f t="shared" si="15"/>
        <v>1</v>
      </c>
      <c r="N64" s="1"/>
      <c r="O64" s="1">
        <v>1</v>
      </c>
      <c r="P64" s="1" t="s">
        <v>218</v>
      </c>
      <c r="Q64" s="1"/>
      <c r="R64" s="1" t="str">
        <f t="shared" si="23"/>
        <v/>
      </c>
      <c r="S64" s="25" t="str">
        <f t="shared" si="21"/>
        <v>N/A</v>
      </c>
      <c r="T64" s="1" t="str">
        <f t="shared" si="22"/>
        <v>N/A</v>
      </c>
      <c r="U64" s="1">
        <f t="shared" si="13"/>
        <v>0.60099999999999998</v>
      </c>
      <c r="V64" s="1" t="e">
        <f>IF(OR(ISNUMBER(Table1[[#This Row],[TX Pdc (W)]]), ISNUMBER(Table1[[#This Row],[RX Pdc (W)]])),MAX(Table1[[#This Row],[TX Pdc (W)]],Table1[[#This Row],[RX Pdc (W)]])/Table1[[#This Row],[Array Aperture Size (cm2)]],"N/A")</f>
        <v>#VALUE!</v>
      </c>
      <c r="W64" s="1">
        <f>IF(OR(ISNUMBER(Table1[[#This Row],[TX Pdc (W)]]), ISNUMBER(Table1[[#This Row],[RX Pdc (W)]])),MAX(Table1[[#This Row],[TX Pdc (W)]],Table1[[#This Row],[RX Pdc (W)]])/(Table1[[#This Row],['# of Array Tile]]*Table1[[#This Row],['# of IC per Tile]])/(Table1[[#This Row],[Chip Size (mm2)]]*0.01),"N/A")</f>
        <v>20.869504826724079</v>
      </c>
      <c r="X64" s="23"/>
      <c r="Y64" s="1">
        <v>1</v>
      </c>
      <c r="Z64" s="1" t="s">
        <v>218</v>
      </c>
      <c r="AA64" s="1">
        <v>1</v>
      </c>
      <c r="AB64" s="1">
        <v>1</v>
      </c>
      <c r="AC64" s="1" t="s">
        <v>27</v>
      </c>
      <c r="AD64" s="1"/>
      <c r="AE64" s="1">
        <v>1</v>
      </c>
      <c r="AF64" s="1" t="s">
        <v>27</v>
      </c>
      <c r="AG64" s="1" t="s">
        <v>27</v>
      </c>
      <c r="AH64" s="1" t="e">
        <f t="shared" si="16"/>
        <v>#VALUE!</v>
      </c>
      <c r="AI64" s="1" t="e">
        <f t="shared" si="17"/>
        <v>#VALUE!</v>
      </c>
      <c r="AJ64" s="1">
        <v>2.38</v>
      </c>
      <c r="AK64" s="1">
        <v>1.21</v>
      </c>
      <c r="AL64" s="1">
        <f>Table1[[#This Row],[Chip Size -X (mm)]]*Table1[[#This Row],[Chip Size - Y (mm)]]</f>
        <v>2.8797999999999999</v>
      </c>
      <c r="AM64" s="1">
        <v>2.15</v>
      </c>
      <c r="AN64" s="1">
        <v>0.88</v>
      </c>
      <c r="AO64" s="1">
        <f t="shared" si="18"/>
        <v>3.7839999999999998</v>
      </c>
      <c r="AP64" s="2"/>
      <c r="AQ64" s="1"/>
      <c r="AR64" s="1"/>
      <c r="AS64" s="1"/>
      <c r="AT64" s="1">
        <v>27</v>
      </c>
      <c r="AU64" s="1">
        <v>21</v>
      </c>
      <c r="AV64" s="1"/>
      <c r="AW64" s="1">
        <v>601</v>
      </c>
      <c r="AX64" s="1"/>
    </row>
    <row r="65" spans="1:50" x14ac:dyDescent="0.2">
      <c r="A65" s="1" t="s">
        <v>14</v>
      </c>
      <c r="B65" s="1">
        <v>2021</v>
      </c>
      <c r="C65" s="1">
        <v>2</v>
      </c>
      <c r="D65" s="1" t="s">
        <v>43</v>
      </c>
      <c r="E65" s="29" t="s">
        <v>42</v>
      </c>
      <c r="F65" s="1" t="s">
        <v>26</v>
      </c>
      <c r="G65" s="1" t="s">
        <v>17</v>
      </c>
      <c r="H65" s="1">
        <v>55</v>
      </c>
      <c r="I65" s="1">
        <v>245</v>
      </c>
      <c r="J65" s="1">
        <f t="shared" si="19"/>
        <v>1</v>
      </c>
      <c r="K65" s="1" t="s">
        <v>27</v>
      </c>
      <c r="L65" s="1">
        <f t="shared" si="14"/>
        <v>1</v>
      </c>
      <c r="M65" s="1">
        <f t="shared" si="15"/>
        <v>0</v>
      </c>
      <c r="N65" s="1">
        <v>1</v>
      </c>
      <c r="O65" s="1"/>
      <c r="P65" s="1" t="s">
        <v>218</v>
      </c>
      <c r="Q65" s="1">
        <v>17</v>
      </c>
      <c r="R65" s="1">
        <f t="shared" si="23"/>
        <v>1</v>
      </c>
      <c r="S65" s="25" t="str">
        <f t="shared" si="21"/>
        <v>N/A</v>
      </c>
      <c r="T65" s="1">
        <f t="shared" si="22"/>
        <v>6.8000000000000005E-2</v>
      </c>
      <c r="U65" s="1" t="str">
        <f t="shared" si="13"/>
        <v>N/A</v>
      </c>
      <c r="V65" s="1" t="e">
        <f>IF(OR(ISNUMBER(Table1[[#This Row],[TX Pdc (W)]]), ISNUMBER(Table1[[#This Row],[RX Pdc (W)]])),MAX(Table1[[#This Row],[TX Pdc (W)]],Table1[[#This Row],[RX Pdc (W)]])/Table1[[#This Row],[Array Aperture Size (cm2)]],"N/A")</f>
        <v>#VALUE!</v>
      </c>
      <c r="W65" s="1">
        <f>IF(OR(ISNUMBER(Table1[[#This Row],[TX Pdc (W)]]), ISNUMBER(Table1[[#This Row],[RX Pdc (W)]])),MAX(Table1[[#This Row],[TX Pdc (W)]],Table1[[#This Row],[RX Pdc (W)]])/(Table1[[#This Row],['# of Array Tile]]*Table1[[#This Row],['# of IC per Tile]])/(Table1[[#This Row],[Chip Size (mm2)]]*0.01),"N/A")</f>
        <v>30.548068283917342</v>
      </c>
      <c r="X65" s="23"/>
      <c r="Y65" s="1">
        <v>1</v>
      </c>
      <c r="Z65" s="1" t="s">
        <v>230</v>
      </c>
      <c r="AA65" s="1">
        <v>1</v>
      </c>
      <c r="AB65" s="1">
        <v>1</v>
      </c>
      <c r="AC65" s="1" t="s">
        <v>27</v>
      </c>
      <c r="AD65" s="1">
        <v>1</v>
      </c>
      <c r="AE65" s="1"/>
      <c r="AF65" s="1" t="s">
        <v>27</v>
      </c>
      <c r="AG65" s="1" t="s">
        <v>27</v>
      </c>
      <c r="AH65" s="1" t="e">
        <f t="shared" si="16"/>
        <v>#VALUE!</v>
      </c>
      <c r="AI65" s="1" t="e">
        <f t="shared" si="17"/>
        <v>#VALUE!</v>
      </c>
      <c r="AJ65" s="1">
        <v>0.53</v>
      </c>
      <c r="AK65" s="1">
        <v>0.42</v>
      </c>
      <c r="AL65" s="1">
        <f>Table1[[#This Row],[Chip Size -X (mm)]]*Table1[[#This Row],[Chip Size - Y (mm)]]</f>
        <v>0.22259999999999999</v>
      </c>
      <c r="AM65" s="1">
        <v>0.34</v>
      </c>
      <c r="AN65" s="1">
        <v>0.39</v>
      </c>
      <c r="AO65" s="1">
        <f t="shared" si="18"/>
        <v>0.26520000000000005</v>
      </c>
      <c r="AP65" s="2"/>
      <c r="AQ65" s="1"/>
      <c r="AR65" s="1">
        <v>1.03</v>
      </c>
      <c r="AS65" s="1"/>
      <c r="AT65" s="1"/>
      <c r="AU65" s="1"/>
      <c r="AV65" s="1">
        <v>68</v>
      </c>
      <c r="AW65" s="1"/>
      <c r="AX65" s="1"/>
    </row>
    <row r="66" spans="1:50" x14ac:dyDescent="0.2">
      <c r="A66" s="1" t="s">
        <v>14</v>
      </c>
      <c r="B66" s="1">
        <v>2021</v>
      </c>
      <c r="C66" s="1">
        <v>2</v>
      </c>
      <c r="D66" s="1" t="s">
        <v>38</v>
      </c>
      <c r="E66" s="29" t="s">
        <v>37</v>
      </c>
      <c r="F66" s="1" t="s">
        <v>35</v>
      </c>
      <c r="G66" s="1" t="s">
        <v>20</v>
      </c>
      <c r="H66" s="1">
        <v>65</v>
      </c>
      <c r="I66" s="1">
        <v>256</v>
      </c>
      <c r="J66" s="1">
        <f t="shared" si="19"/>
        <v>8</v>
      </c>
      <c r="K66" s="1">
        <v>1</v>
      </c>
      <c r="L66" s="1">
        <f t="shared" ref="L66:L97" si="24">AD66*AB66*Y66</f>
        <v>4</v>
      </c>
      <c r="M66" s="1">
        <f t="shared" ref="M66:M97" si="25">AE66*AB66*Y66</f>
        <v>4</v>
      </c>
      <c r="N66" s="1">
        <v>1</v>
      </c>
      <c r="O66" s="1">
        <v>1</v>
      </c>
      <c r="P66" s="1" t="s">
        <v>223</v>
      </c>
      <c r="Q66" s="1"/>
      <c r="R66" s="1" t="str">
        <f t="shared" si="23"/>
        <v/>
      </c>
      <c r="S66" s="25" t="str">
        <f t="shared" si="21"/>
        <v>N/A</v>
      </c>
      <c r="T66" s="1">
        <f t="shared" si="22"/>
        <v>3</v>
      </c>
      <c r="U66" s="1">
        <f t="shared" si="13"/>
        <v>3</v>
      </c>
      <c r="V66" s="1" t="e">
        <f>IF(OR(ISNUMBER(Table1[[#This Row],[TX Pdc (W)]]), ISNUMBER(Table1[[#This Row],[RX Pdc (W)]])),MAX(Table1[[#This Row],[TX Pdc (W)]],Table1[[#This Row],[RX Pdc (W)]])/Table1[[#This Row],[Array Aperture Size (cm2)]],"N/A")</f>
        <v>#VALUE!</v>
      </c>
      <c r="W66" s="1">
        <f>IF(OR(ISNUMBER(Table1[[#This Row],[TX Pdc (W)]]), ISNUMBER(Table1[[#This Row],[RX Pdc (W)]])),MAX(Table1[[#This Row],[TX Pdc (W)]],Table1[[#This Row],[RX Pdc (W)]])/(Table1[[#This Row],['# of Array Tile]]*Table1[[#This Row],['# of IC per Tile]])/(Table1[[#This Row],[Chip Size (mm2)]]*0.01),"N/A")</f>
        <v>18.007202881152462</v>
      </c>
      <c r="X66" s="23"/>
      <c r="Y66" s="1">
        <v>4</v>
      </c>
      <c r="Z66" s="1" t="s">
        <v>223</v>
      </c>
      <c r="AA66" s="1">
        <v>1</v>
      </c>
      <c r="AB66" s="1">
        <v>1</v>
      </c>
      <c r="AC66" s="1" t="s">
        <v>309</v>
      </c>
      <c r="AD66" s="1">
        <v>1</v>
      </c>
      <c r="AE66" s="1">
        <v>1</v>
      </c>
      <c r="AF66" s="1" t="s">
        <v>27</v>
      </c>
      <c r="AG66" s="1" t="s">
        <v>27</v>
      </c>
      <c r="AH66" s="1" t="e">
        <f t="shared" ref="AH66:AH97" si="26">AF66*AG66</f>
        <v>#VALUE!</v>
      </c>
      <c r="AI66" s="1" t="e">
        <f t="shared" ref="AI66:AI97" si="27">(AH66*100/(Y66*AA66))</f>
        <v>#VALUE!</v>
      </c>
      <c r="AJ66" s="1">
        <v>2.4500000000000002</v>
      </c>
      <c r="AK66" s="1">
        <v>1.7</v>
      </c>
      <c r="AL66" s="1">
        <f>Table1[[#This Row],[Chip Size -X (mm)]]*Table1[[#This Row],[Chip Size - Y (mm)]]</f>
        <v>4.165</v>
      </c>
      <c r="AM66" s="1">
        <v>2.25</v>
      </c>
      <c r="AN66" s="1">
        <v>1.51</v>
      </c>
      <c r="AO66" s="1">
        <f t="shared" ref="AO66:AO97" si="28">(AM66*AN66/(AD66+AE66)*MAX(AD66,AE66)*2)/MAX(AD66,AE66)</f>
        <v>3.3975</v>
      </c>
      <c r="AP66" s="2"/>
      <c r="AQ66" s="1"/>
      <c r="AR66" s="1"/>
      <c r="AS66" s="1"/>
      <c r="AT66" s="1"/>
      <c r="AU66" s="1"/>
      <c r="AV66" s="1">
        <v>750</v>
      </c>
      <c r="AW66" s="1">
        <v>750</v>
      </c>
      <c r="AX66" s="1"/>
    </row>
    <row r="67" spans="1:50" x14ac:dyDescent="0.2">
      <c r="A67" s="1" t="s">
        <v>14</v>
      </c>
      <c r="B67" s="1">
        <v>2021</v>
      </c>
      <c r="C67" s="1">
        <v>2</v>
      </c>
      <c r="D67" s="1" t="s">
        <v>45</v>
      </c>
      <c r="E67" s="29" t="s">
        <v>44</v>
      </c>
      <c r="F67" s="1" t="s">
        <v>26</v>
      </c>
      <c r="G67" s="1" t="s">
        <v>20</v>
      </c>
      <c r="H67" s="1">
        <v>65</v>
      </c>
      <c r="I67" s="1">
        <v>450</v>
      </c>
      <c r="J67" s="1">
        <f t="shared" si="19"/>
        <v>21</v>
      </c>
      <c r="K67" s="1">
        <v>2</v>
      </c>
      <c r="L67" s="1">
        <f t="shared" si="24"/>
        <v>21</v>
      </c>
      <c r="M67" s="1">
        <f t="shared" si="25"/>
        <v>0</v>
      </c>
      <c r="N67" s="1">
        <v>1</v>
      </c>
      <c r="O67" s="1"/>
      <c r="P67" s="1" t="s">
        <v>218</v>
      </c>
      <c r="Q67" s="1">
        <v>3.6</v>
      </c>
      <c r="R67" s="1">
        <v>2</v>
      </c>
      <c r="S67" s="25" t="str">
        <f t="shared" si="21"/>
        <v>N/A</v>
      </c>
      <c r="T67" s="1">
        <f t="shared" si="22"/>
        <v>1.071</v>
      </c>
      <c r="U67" s="1" t="str">
        <f t="shared" si="13"/>
        <v>N/A</v>
      </c>
      <c r="V67" s="1" t="e">
        <f>IF(OR(ISNUMBER(Table1[[#This Row],[TX Pdc (W)]]), ISNUMBER(Table1[[#This Row],[RX Pdc (W)]])),MAX(Table1[[#This Row],[TX Pdc (W)]],Table1[[#This Row],[RX Pdc (W)]])/Table1[[#This Row],[Array Aperture Size (cm2)]],"N/A")</f>
        <v>#VALUE!</v>
      </c>
      <c r="W67" s="1">
        <f>IF(OR(ISNUMBER(Table1[[#This Row],[TX Pdc (W)]]), ISNUMBER(Table1[[#This Row],[RX Pdc (W)]])),MAX(Table1[[#This Row],[TX Pdc (W)]],Table1[[#This Row],[RX Pdc (W)]])/(Table1[[#This Row],['# of Array Tile]]*Table1[[#This Row],['# of IC per Tile]])/(Table1[[#This Row],[Chip Size (mm2)]]*0.01),"N/A")</f>
        <v>26.870389884088514</v>
      </c>
      <c r="X67" s="23"/>
      <c r="Y67" s="1">
        <v>1</v>
      </c>
      <c r="Z67" s="1" t="s">
        <v>230</v>
      </c>
      <c r="AA67" s="1">
        <v>21</v>
      </c>
      <c r="AB67" s="1">
        <v>1</v>
      </c>
      <c r="AC67" s="1" t="s">
        <v>27</v>
      </c>
      <c r="AD67" s="1">
        <v>21</v>
      </c>
      <c r="AE67" s="1"/>
      <c r="AF67" s="1" t="s">
        <v>27</v>
      </c>
      <c r="AG67" s="1" t="s">
        <v>27</v>
      </c>
      <c r="AH67" s="1" t="e">
        <f t="shared" si="26"/>
        <v>#VALUE!</v>
      </c>
      <c r="AI67" s="1" t="e">
        <f t="shared" si="27"/>
        <v>#VALUE!</v>
      </c>
      <c r="AJ67" s="1">
        <v>2.73</v>
      </c>
      <c r="AK67" s="1">
        <v>1.46</v>
      </c>
      <c r="AL67" s="1">
        <f>Table1[[#This Row],[Chip Size -X (mm)]]*Table1[[#This Row],[Chip Size - Y (mm)]]</f>
        <v>3.9857999999999998</v>
      </c>
      <c r="AM67" s="1">
        <v>2.7</v>
      </c>
      <c r="AN67" s="1">
        <v>1.1100000000000001</v>
      </c>
      <c r="AO67" s="1">
        <f t="shared" si="28"/>
        <v>0.28542857142857148</v>
      </c>
      <c r="AP67" s="2"/>
      <c r="AQ67" s="1"/>
      <c r="AR67" s="1"/>
      <c r="AS67" s="1"/>
      <c r="AT67" s="1"/>
      <c r="AU67" s="1"/>
      <c r="AV67" s="1">
        <v>51</v>
      </c>
      <c r="AW67" s="1"/>
      <c r="AX67" s="1"/>
    </row>
    <row r="68" spans="1:50" x14ac:dyDescent="0.2">
      <c r="A68" s="1" t="s">
        <v>14</v>
      </c>
      <c r="B68" s="1">
        <v>2021</v>
      </c>
      <c r="C68" s="1">
        <v>2</v>
      </c>
      <c r="D68" s="1" t="s">
        <v>47</v>
      </c>
      <c r="E68" s="29" t="s">
        <v>46</v>
      </c>
      <c r="F68" s="1" t="s">
        <v>26</v>
      </c>
      <c r="G68" s="1" t="s">
        <v>20</v>
      </c>
      <c r="H68" s="1">
        <v>28</v>
      </c>
      <c r="I68" s="1">
        <v>605</v>
      </c>
      <c r="J68" s="1">
        <f t="shared" si="19"/>
        <v>1</v>
      </c>
      <c r="K68" s="1" t="s">
        <v>27</v>
      </c>
      <c r="L68" s="1">
        <f t="shared" si="24"/>
        <v>0</v>
      </c>
      <c r="M68" s="1">
        <f t="shared" si="25"/>
        <v>1</v>
      </c>
      <c r="N68" s="1"/>
      <c r="O68" s="1">
        <v>1</v>
      </c>
      <c r="P68" s="1" t="s">
        <v>218</v>
      </c>
      <c r="Q68" s="1"/>
      <c r="R68" s="1" t="str">
        <f t="shared" ref="R68:R95" si="29">IF(Q68="","",Y68*AA68)</f>
        <v/>
      </c>
      <c r="S68" s="25" t="str">
        <f t="shared" si="21"/>
        <v>N/A</v>
      </c>
      <c r="T68" s="1" t="str">
        <f t="shared" si="22"/>
        <v>N/A</v>
      </c>
      <c r="U68" s="1">
        <f t="shared" si="13"/>
        <v>8.3999999999999993E-4</v>
      </c>
      <c r="V68" s="1" t="e">
        <f>IF(OR(ISNUMBER(Table1[[#This Row],[TX Pdc (W)]]), ISNUMBER(Table1[[#This Row],[RX Pdc (W)]])),MAX(Table1[[#This Row],[TX Pdc (W)]],Table1[[#This Row],[RX Pdc (W)]])/Table1[[#This Row],[Array Aperture Size (cm2)]],"N/A")</f>
        <v>#VALUE!</v>
      </c>
      <c r="W68" s="1">
        <f>IF(OR(ISNUMBER(Table1[[#This Row],[TX Pdc (W)]]), ISNUMBER(Table1[[#This Row],[RX Pdc (W)]])),MAX(Table1[[#This Row],[TX Pdc (W)]],Table1[[#This Row],[RX Pdc (W)]])/(Table1[[#This Row],['# of Array Tile]]*Table1[[#This Row],['# of IC per Tile]])/(Table1[[#This Row],[Chip Size (mm2)]]*0.01),"N/A")</f>
        <v>12.416851441241683</v>
      </c>
      <c r="X68" s="23"/>
      <c r="Y68" s="1">
        <v>1</v>
      </c>
      <c r="Z68" s="1" t="s">
        <v>218</v>
      </c>
      <c r="AA68" s="1">
        <v>1</v>
      </c>
      <c r="AB68" s="1">
        <v>1</v>
      </c>
      <c r="AC68" s="1" t="s">
        <v>27</v>
      </c>
      <c r="AD68" s="1"/>
      <c r="AE68" s="1">
        <v>1</v>
      </c>
      <c r="AF68" s="1" t="s">
        <v>27</v>
      </c>
      <c r="AG68" s="1" t="s">
        <v>27</v>
      </c>
      <c r="AH68" s="1" t="e">
        <f t="shared" si="26"/>
        <v>#VALUE!</v>
      </c>
      <c r="AI68" s="1" t="e">
        <f t="shared" si="27"/>
        <v>#VALUE!</v>
      </c>
      <c r="AJ68" s="1">
        <v>5.5E-2</v>
      </c>
      <c r="AK68" s="1">
        <v>0.123</v>
      </c>
      <c r="AL68" s="1">
        <f>Table1[[#This Row],[Chip Size -X (mm)]]*Table1[[#This Row],[Chip Size - Y (mm)]]</f>
        <v>6.7650000000000002E-3</v>
      </c>
      <c r="AM68" s="1">
        <v>5.5E-2</v>
      </c>
      <c r="AN68" s="1">
        <v>0.123</v>
      </c>
      <c r="AO68" s="1">
        <f t="shared" si="28"/>
        <v>1.353E-2</v>
      </c>
      <c r="AP68" s="2"/>
      <c r="AQ68" s="1"/>
      <c r="AR68" s="1"/>
      <c r="AS68" s="1"/>
      <c r="AT68" s="1"/>
      <c r="AU68" s="1"/>
      <c r="AV68" s="1"/>
      <c r="AW68" s="1">
        <v>0.84</v>
      </c>
      <c r="AX68" s="1"/>
    </row>
    <row r="69" spans="1:50" x14ac:dyDescent="0.2">
      <c r="A69" s="1" t="s">
        <v>14</v>
      </c>
      <c r="B69" s="1">
        <v>2021</v>
      </c>
      <c r="C69" s="1">
        <v>2</v>
      </c>
      <c r="D69" s="1" t="s">
        <v>29</v>
      </c>
      <c r="E69" s="29" t="s">
        <v>34</v>
      </c>
      <c r="F69" s="1" t="s">
        <v>35</v>
      </c>
      <c r="G69" s="1" t="s">
        <v>20</v>
      </c>
      <c r="H69" s="1">
        <v>65</v>
      </c>
      <c r="I69" s="1">
        <v>378</v>
      </c>
      <c r="J69" s="1">
        <f t="shared" si="19"/>
        <v>4</v>
      </c>
      <c r="K69" s="1">
        <v>1</v>
      </c>
      <c r="L69" s="1">
        <f t="shared" si="24"/>
        <v>2</v>
      </c>
      <c r="M69" s="1">
        <f t="shared" si="25"/>
        <v>2</v>
      </c>
      <c r="N69" s="1">
        <v>1</v>
      </c>
      <c r="O69" s="1">
        <v>1</v>
      </c>
      <c r="P69" s="1" t="s">
        <v>218</v>
      </c>
      <c r="Q69" s="1"/>
      <c r="R69" s="1" t="str">
        <f t="shared" si="29"/>
        <v/>
      </c>
      <c r="S69" s="25">
        <f t="shared" si="21"/>
        <v>-7.8897000433601896</v>
      </c>
      <c r="T69" s="1">
        <f t="shared" si="22"/>
        <v>0.27600000000000002</v>
      </c>
      <c r="U69" s="1">
        <f t="shared" si="13"/>
        <v>0.32600000000000001</v>
      </c>
      <c r="V69" s="1" t="e">
        <f>IF(OR(ISNUMBER(Table1[[#This Row],[TX Pdc (W)]]), ISNUMBER(Table1[[#This Row],[RX Pdc (W)]])),MAX(Table1[[#This Row],[TX Pdc (W)]],Table1[[#This Row],[RX Pdc (W)]])/Table1[[#This Row],[Array Aperture Size (cm2)]],"N/A")</f>
        <v>#VALUE!</v>
      </c>
      <c r="W69" s="1">
        <f>IF(OR(ISNUMBER(Table1[[#This Row],[TX Pdc (W)]]), ISNUMBER(Table1[[#This Row],[RX Pdc (W)]])),MAX(Table1[[#This Row],[TX Pdc (W)]],Table1[[#This Row],[RX Pdc (W)]])/(Table1[[#This Row],['# of Array Tile]]*Table1[[#This Row],['# of IC per Tile]])/(Table1[[#This Row],[Chip Size (mm2)]]*0.01),"N/A")</f>
        <v>10.866666666666667</v>
      </c>
      <c r="X69" s="23"/>
      <c r="Y69" s="1">
        <v>1</v>
      </c>
      <c r="Z69" s="1" t="s">
        <v>218</v>
      </c>
      <c r="AA69" s="1">
        <v>2</v>
      </c>
      <c r="AB69" s="1">
        <v>1</v>
      </c>
      <c r="AC69" s="1" t="s">
        <v>309</v>
      </c>
      <c r="AD69" s="1">
        <v>2</v>
      </c>
      <c r="AE69" s="1">
        <v>2</v>
      </c>
      <c r="AF69" s="1" t="s">
        <v>27</v>
      </c>
      <c r="AG69" s="1" t="s">
        <v>27</v>
      </c>
      <c r="AH69" s="1" t="e">
        <f t="shared" si="26"/>
        <v>#VALUE!</v>
      </c>
      <c r="AI69" s="1" t="e">
        <f t="shared" si="27"/>
        <v>#VALUE!</v>
      </c>
      <c r="AJ69" s="1">
        <v>3</v>
      </c>
      <c r="AK69" s="1">
        <v>1</v>
      </c>
      <c r="AL69" s="1">
        <f>Table1[[#This Row],[Chip Size -X (mm)]]*Table1[[#This Row],[Chip Size - Y (mm)]]</f>
        <v>3</v>
      </c>
      <c r="AM69" s="1">
        <v>2.74</v>
      </c>
      <c r="AN69" s="1">
        <v>0.74</v>
      </c>
      <c r="AO69" s="1">
        <f t="shared" si="28"/>
        <v>1.0138</v>
      </c>
      <c r="AP69" s="2"/>
      <c r="AQ69" s="1">
        <v>-10.9</v>
      </c>
      <c r="AR69" s="1"/>
      <c r="AS69" s="1"/>
      <c r="AT69" s="1">
        <v>26.2</v>
      </c>
      <c r="AU69" s="1"/>
      <c r="AV69" s="1">
        <v>138</v>
      </c>
      <c r="AW69" s="1">
        <v>163</v>
      </c>
      <c r="AX69" s="1"/>
    </row>
    <row r="70" spans="1:50" x14ac:dyDescent="0.2">
      <c r="A70" s="1" t="s">
        <v>49</v>
      </c>
      <c r="B70" s="1">
        <v>2021</v>
      </c>
      <c r="C70" s="1">
        <v>3</v>
      </c>
      <c r="D70" s="1" t="s">
        <v>90</v>
      </c>
      <c r="E70" s="29" t="s">
        <v>260</v>
      </c>
      <c r="F70" s="1" t="s">
        <v>62</v>
      </c>
      <c r="G70" s="1" t="s">
        <v>51</v>
      </c>
      <c r="H70" s="1">
        <v>45</v>
      </c>
      <c r="I70" s="1">
        <v>60</v>
      </c>
      <c r="J70" s="1">
        <f t="shared" si="19"/>
        <v>1</v>
      </c>
      <c r="K70" s="1">
        <v>1</v>
      </c>
      <c r="L70" s="1">
        <f t="shared" si="24"/>
        <v>1</v>
      </c>
      <c r="M70" s="1">
        <f t="shared" si="25"/>
        <v>0</v>
      </c>
      <c r="N70" s="1">
        <v>1</v>
      </c>
      <c r="O70" s="1"/>
      <c r="P70" s="1" t="s">
        <v>222</v>
      </c>
      <c r="Q70" s="1"/>
      <c r="R70" s="1" t="str">
        <f t="shared" si="29"/>
        <v/>
      </c>
      <c r="S70" s="25">
        <f t="shared" si="21"/>
        <v>10</v>
      </c>
      <c r="T70" s="1">
        <f t="shared" si="22"/>
        <v>6.7000000000000004E-2</v>
      </c>
      <c r="U70" s="1" t="str">
        <f t="shared" si="13"/>
        <v>N/A</v>
      </c>
      <c r="V70" s="1" t="e">
        <f>IF(OR(ISNUMBER(Table1[[#This Row],[TX Pdc (W)]]), ISNUMBER(Table1[[#This Row],[RX Pdc (W)]])),MAX(Table1[[#This Row],[TX Pdc (W)]],Table1[[#This Row],[RX Pdc (W)]])/Table1[[#This Row],[Array Aperture Size (cm2)]],"N/A")</f>
        <v>#VALUE!</v>
      </c>
      <c r="W70" s="1">
        <f>IF(OR(ISNUMBER(Table1[[#This Row],[TX Pdc (W)]]), ISNUMBER(Table1[[#This Row],[RX Pdc (W)]])),MAX(Table1[[#This Row],[TX Pdc (W)]],Table1[[#This Row],[RX Pdc (W)]])/(Table1[[#This Row],['# of Array Tile]]*Table1[[#This Row],['# of IC per Tile]])/(Table1[[#This Row],[Chip Size (mm2)]]*0.01),"N/A")</f>
        <v>4.379084967320261</v>
      </c>
      <c r="X70" s="23"/>
      <c r="Y70" s="1">
        <v>1</v>
      </c>
      <c r="Z70" s="1" t="s">
        <v>27</v>
      </c>
      <c r="AA70" s="1" t="s">
        <v>27</v>
      </c>
      <c r="AB70" s="1">
        <v>1</v>
      </c>
      <c r="AC70" s="1" t="s">
        <v>27</v>
      </c>
      <c r="AD70" s="1">
        <v>1</v>
      </c>
      <c r="AE70" s="1"/>
      <c r="AF70" s="1" t="s">
        <v>27</v>
      </c>
      <c r="AG70" s="1" t="s">
        <v>27</v>
      </c>
      <c r="AH70" s="1" t="e">
        <f t="shared" si="26"/>
        <v>#VALUE!</v>
      </c>
      <c r="AI70" s="1" t="e">
        <f t="shared" si="27"/>
        <v>#VALUE!</v>
      </c>
      <c r="AJ70" s="1">
        <v>1.7</v>
      </c>
      <c r="AK70" s="1">
        <v>0.9</v>
      </c>
      <c r="AL70" s="1">
        <f>Table1[[#This Row],[Chip Size -X (mm)]]*Table1[[#This Row],[Chip Size - Y (mm)]]</f>
        <v>1.53</v>
      </c>
      <c r="AM70" s="1">
        <v>1.45</v>
      </c>
      <c r="AN70" s="1">
        <v>0.35</v>
      </c>
      <c r="AO70" s="1">
        <f t="shared" si="28"/>
        <v>1.0149999999999999</v>
      </c>
      <c r="AP70" s="2"/>
      <c r="AQ70" s="1">
        <v>10</v>
      </c>
      <c r="AR70" s="1">
        <v>14.6</v>
      </c>
      <c r="AS70" s="1">
        <v>22</v>
      </c>
      <c r="AT70" s="1"/>
      <c r="AU70" s="1"/>
      <c r="AV70" s="1">
        <v>67</v>
      </c>
      <c r="AW70" s="1"/>
      <c r="AX70" s="1"/>
    </row>
    <row r="71" spans="1:50" x14ac:dyDescent="0.2">
      <c r="A71" s="1" t="s">
        <v>49</v>
      </c>
      <c r="B71" s="1">
        <v>2021</v>
      </c>
      <c r="C71" s="1">
        <v>5</v>
      </c>
      <c r="D71" s="1" t="s">
        <v>256</v>
      </c>
      <c r="E71" s="29" t="s">
        <v>257</v>
      </c>
      <c r="F71" s="1" t="s">
        <v>63</v>
      </c>
      <c r="G71" s="1" t="s">
        <v>17</v>
      </c>
      <c r="H71" s="1"/>
      <c r="I71" s="1">
        <v>11.7</v>
      </c>
      <c r="J71" s="1">
        <f t="shared" si="19"/>
        <v>256</v>
      </c>
      <c r="K71" s="1">
        <v>2</v>
      </c>
      <c r="L71" s="1">
        <f t="shared" si="24"/>
        <v>0</v>
      </c>
      <c r="M71" s="1">
        <f t="shared" si="25"/>
        <v>256</v>
      </c>
      <c r="N71" s="1"/>
      <c r="O71" s="1">
        <v>2</v>
      </c>
      <c r="P71" s="1" t="s">
        <v>223</v>
      </c>
      <c r="Q71" s="1"/>
      <c r="R71" s="1" t="str">
        <f t="shared" si="29"/>
        <v/>
      </c>
      <c r="S71" s="25" t="str">
        <f t="shared" si="21"/>
        <v>N/A</v>
      </c>
      <c r="T71" s="1" t="str">
        <f t="shared" si="22"/>
        <v>N/A</v>
      </c>
      <c r="U71" s="1">
        <f t="shared" si="13"/>
        <v>27.135999999999999</v>
      </c>
      <c r="V71" s="1">
        <f>IF(OR(ISNUMBER(Table1[[#This Row],[TX Pdc (W)]]), ISNUMBER(Table1[[#This Row],[RX Pdc (W)]])),MAX(Table1[[#This Row],[TX Pdc (W)]],Table1[[#This Row],[RX Pdc (W)]])/Table1[[#This Row],[Array Aperture Size (cm2)]],"N/A")</f>
        <v>6.9921925326599501</v>
      </c>
      <c r="W71" s="1" t="e">
        <f>IF(OR(ISNUMBER(Table1[[#This Row],[TX Pdc (W)]]), ISNUMBER(Table1[[#This Row],[RX Pdc (W)]])),MAX(Table1[[#This Row],[TX Pdc (W)]],Table1[[#This Row],[RX Pdc (W)]])/(Table1[[#This Row],['# of Array Tile]]*Table1[[#This Row],['# of IC per Tile]])/(Table1[[#This Row],[Chip Size (mm2)]]*0.01),"N/A")</f>
        <v>#VALUE!</v>
      </c>
      <c r="X71" s="23"/>
      <c r="Y71" s="1">
        <v>1</v>
      </c>
      <c r="Z71" s="1" t="s">
        <v>223</v>
      </c>
      <c r="AA71" s="1">
        <v>256</v>
      </c>
      <c r="AB71" s="1">
        <v>64</v>
      </c>
      <c r="AC71" s="1" t="s">
        <v>27</v>
      </c>
      <c r="AD71" s="1"/>
      <c r="AE71" s="1">
        <v>4</v>
      </c>
      <c r="AF71" s="1">
        <v>1.97</v>
      </c>
      <c r="AG71" s="1">
        <v>1.97</v>
      </c>
      <c r="AH71" s="1">
        <f t="shared" si="26"/>
        <v>3.8809</v>
      </c>
      <c r="AI71" s="1">
        <f t="shared" si="27"/>
        <v>1.5159765624999999</v>
      </c>
      <c r="AJ71" s="1" t="s">
        <v>27</v>
      </c>
      <c r="AK71" s="1" t="s">
        <v>27</v>
      </c>
      <c r="AL71" s="1" t="e">
        <f>Table1[[#This Row],[Chip Size -X (mm)]]*Table1[[#This Row],[Chip Size - Y (mm)]]</f>
        <v>#VALUE!</v>
      </c>
      <c r="AM71" s="1" t="s">
        <v>27</v>
      </c>
      <c r="AN71" s="1" t="s">
        <v>27</v>
      </c>
      <c r="AO71" s="1" t="e">
        <f t="shared" si="28"/>
        <v>#VALUE!</v>
      </c>
      <c r="AP71" s="2"/>
      <c r="AQ71" s="1"/>
      <c r="AR71" s="1"/>
      <c r="AS71" s="1"/>
      <c r="AT71" s="1">
        <v>5.3</v>
      </c>
      <c r="AU71" s="1">
        <v>14.6</v>
      </c>
      <c r="AV71" s="1"/>
      <c r="AW71" s="1">
        <f>53*2</f>
        <v>106</v>
      </c>
      <c r="AX71" s="1" t="s">
        <v>258</v>
      </c>
    </row>
    <row r="72" spans="1:50" x14ac:dyDescent="0.2">
      <c r="A72" s="1" t="s">
        <v>49</v>
      </c>
      <c r="B72" s="1">
        <v>2021</v>
      </c>
      <c r="C72" s="1">
        <v>5</v>
      </c>
      <c r="D72" s="1" t="s">
        <v>256</v>
      </c>
      <c r="E72" s="29" t="s">
        <v>255</v>
      </c>
      <c r="F72" s="1" t="s">
        <v>62</v>
      </c>
      <c r="G72" s="1" t="s">
        <v>17</v>
      </c>
      <c r="H72" s="1"/>
      <c r="I72" s="1">
        <v>14</v>
      </c>
      <c r="J72" s="1">
        <f t="shared" si="19"/>
        <v>256</v>
      </c>
      <c r="K72" s="1">
        <v>2</v>
      </c>
      <c r="L72" s="1">
        <f t="shared" si="24"/>
        <v>256</v>
      </c>
      <c r="M72" s="1">
        <f t="shared" si="25"/>
        <v>0</v>
      </c>
      <c r="N72" s="1">
        <v>2</v>
      </c>
      <c r="O72" s="1"/>
      <c r="P72" s="1" t="s">
        <v>223</v>
      </c>
      <c r="Q72" s="1">
        <v>66.5</v>
      </c>
      <c r="R72" s="1">
        <f t="shared" si="29"/>
        <v>256</v>
      </c>
      <c r="S72" s="25">
        <f t="shared" si="21"/>
        <v>36.0823996531185</v>
      </c>
      <c r="T72" s="1">
        <f t="shared" si="22"/>
        <v>76.8</v>
      </c>
      <c r="U72" s="1" t="str">
        <f t="shared" si="13"/>
        <v>N/A</v>
      </c>
      <c r="V72" s="1">
        <f>IF(OR(ISNUMBER(Table1[[#This Row],[TX Pdc (W)]]), ISNUMBER(Table1[[#This Row],[RX Pdc (W)]])),MAX(Table1[[#This Row],[TX Pdc (W)]],Table1[[#This Row],[RX Pdc (W)]])/Table1[[#This Row],[Array Aperture Size (cm2)]],"N/A")</f>
        <v>26.26449163845286</v>
      </c>
      <c r="W72" s="1" t="e">
        <f>IF(OR(ISNUMBER(Table1[[#This Row],[TX Pdc (W)]]), ISNUMBER(Table1[[#This Row],[RX Pdc (W)]])),MAX(Table1[[#This Row],[TX Pdc (W)]],Table1[[#This Row],[RX Pdc (W)]])/(Table1[[#This Row],['# of Array Tile]]*Table1[[#This Row],['# of IC per Tile]])/(Table1[[#This Row],[Chip Size (mm2)]]*0.01),"N/A")</f>
        <v>#VALUE!</v>
      </c>
      <c r="X72" s="23"/>
      <c r="Y72" s="1">
        <v>1</v>
      </c>
      <c r="Z72" s="1" t="s">
        <v>223</v>
      </c>
      <c r="AA72" s="1">
        <v>256</v>
      </c>
      <c r="AB72" s="1">
        <v>64</v>
      </c>
      <c r="AC72" s="1" t="s">
        <v>27</v>
      </c>
      <c r="AD72" s="1">
        <v>4</v>
      </c>
      <c r="AE72" s="1"/>
      <c r="AF72" s="1">
        <v>1.71</v>
      </c>
      <c r="AG72" s="1">
        <v>1.71</v>
      </c>
      <c r="AH72" s="1">
        <f t="shared" si="26"/>
        <v>2.9240999999999997</v>
      </c>
      <c r="AI72" s="1">
        <f t="shared" si="27"/>
        <v>1.1422265624999999</v>
      </c>
      <c r="AJ72" s="1" t="s">
        <v>27</v>
      </c>
      <c r="AK72" s="1" t="s">
        <v>27</v>
      </c>
      <c r="AL72" s="1" t="e">
        <f>Table1[[#This Row],[Chip Size -X (mm)]]*Table1[[#This Row],[Chip Size - Y (mm)]]</f>
        <v>#VALUE!</v>
      </c>
      <c r="AM72" s="1" t="s">
        <v>27</v>
      </c>
      <c r="AN72" s="1" t="s">
        <v>27</v>
      </c>
      <c r="AO72" s="1" t="e">
        <f t="shared" si="28"/>
        <v>#VALUE!</v>
      </c>
      <c r="AP72" s="2"/>
      <c r="AQ72" s="1">
        <v>12</v>
      </c>
      <c r="AR72" s="1"/>
      <c r="AS72" s="1">
        <v>35</v>
      </c>
      <c r="AT72" s="1"/>
      <c r="AU72" s="1"/>
      <c r="AV72" s="1">
        <f>150*2</f>
        <v>300</v>
      </c>
      <c r="AW72" s="1"/>
      <c r="AX72" s="1" t="s">
        <v>252</v>
      </c>
    </row>
    <row r="73" spans="1:50" x14ac:dyDescent="0.2">
      <c r="A73" s="1" t="s">
        <v>277</v>
      </c>
      <c r="B73" s="1">
        <v>2021</v>
      </c>
      <c r="C73" s="1">
        <v>5</v>
      </c>
      <c r="D73" s="1" t="s">
        <v>278</v>
      </c>
      <c r="E73" s="29" t="s">
        <v>276</v>
      </c>
      <c r="F73" s="1" t="s">
        <v>151</v>
      </c>
      <c r="G73" s="1"/>
      <c r="H73" s="1"/>
      <c r="I73" s="1">
        <v>29.5</v>
      </c>
      <c r="J73" s="1"/>
      <c r="K73" s="1">
        <v>2</v>
      </c>
      <c r="L73" s="1">
        <f t="shared" si="24"/>
        <v>0</v>
      </c>
      <c r="M73" s="1">
        <f t="shared" si="25"/>
        <v>0</v>
      </c>
      <c r="N73" s="1">
        <v>2</v>
      </c>
      <c r="O73" s="1">
        <v>2</v>
      </c>
      <c r="P73" s="1" t="s">
        <v>223</v>
      </c>
      <c r="Q73" s="1"/>
      <c r="R73" s="1" t="str">
        <f t="shared" si="29"/>
        <v/>
      </c>
      <c r="S73" s="25" t="str">
        <f t="shared" si="21"/>
        <v>N/A</v>
      </c>
      <c r="T73" s="1" t="str">
        <f t="shared" si="22"/>
        <v>N/A</v>
      </c>
      <c r="U73" s="1" t="str">
        <f t="shared" si="13"/>
        <v>N/A</v>
      </c>
      <c r="V73" s="1" t="str">
        <f>IF(OR(ISNUMBER(Table1[[#This Row],[TX Pdc (W)]]), ISNUMBER(Table1[[#This Row],[RX Pdc (W)]])),MAX(Table1[[#This Row],[TX Pdc (W)]],Table1[[#This Row],[RX Pdc (W)]])/Table1[[#This Row],[Array Aperture Size (cm2)]],"N/A")</f>
        <v>N/A</v>
      </c>
      <c r="W73" s="1" t="str">
        <f>IF(OR(ISNUMBER(Table1[[#This Row],[TX Pdc (W)]]), ISNUMBER(Table1[[#This Row],[RX Pdc (W)]])),MAX(Table1[[#This Row],[TX Pdc (W)]],Table1[[#This Row],[RX Pdc (W)]])/(Table1[[#This Row],['# of Array Tile]]*Table1[[#This Row],['# of IC per Tile]])/(Table1[[#This Row],[Chip Size (mm2)]]*0.01),"N/A")</f>
        <v>N/A</v>
      </c>
      <c r="X73" s="23"/>
      <c r="Y73" s="1">
        <v>1</v>
      </c>
      <c r="Z73" s="1" t="s">
        <v>223</v>
      </c>
      <c r="AA73" s="1">
        <v>400</v>
      </c>
      <c r="AB73" s="1"/>
      <c r="AC73" s="1" t="s">
        <v>27</v>
      </c>
      <c r="AD73" s="1"/>
      <c r="AE73" s="1"/>
      <c r="AF73" s="1">
        <v>10</v>
      </c>
      <c r="AG73" s="1">
        <v>10</v>
      </c>
      <c r="AH73" s="1">
        <f t="shared" si="26"/>
        <v>100</v>
      </c>
      <c r="AI73" s="1">
        <f t="shared" si="27"/>
        <v>25</v>
      </c>
      <c r="AJ73" s="1"/>
      <c r="AK73" s="1"/>
      <c r="AL73" s="1">
        <f>Table1[[#This Row],[Chip Size -X (mm)]]*Table1[[#This Row],[Chip Size - Y (mm)]]</f>
        <v>0</v>
      </c>
      <c r="AM73" s="1"/>
      <c r="AN73" s="1"/>
      <c r="AO73" s="1" t="e">
        <f t="shared" si="28"/>
        <v>#DIV/0!</v>
      </c>
      <c r="AP73" s="2"/>
      <c r="AQ73" s="1"/>
      <c r="AR73" s="1"/>
      <c r="AS73" s="1">
        <v>22.5</v>
      </c>
      <c r="AT73" s="1"/>
      <c r="AU73" s="1"/>
      <c r="AV73" s="1"/>
      <c r="AW73" s="1"/>
      <c r="AX73" s="1" t="s">
        <v>279</v>
      </c>
    </row>
    <row r="74" spans="1:50" x14ac:dyDescent="0.2">
      <c r="A74" s="1" t="s">
        <v>31</v>
      </c>
      <c r="B74" s="1">
        <v>2021</v>
      </c>
      <c r="C74" s="1">
        <v>6</v>
      </c>
      <c r="D74" s="1" t="s">
        <v>104</v>
      </c>
      <c r="E74" s="29" t="s">
        <v>103</v>
      </c>
      <c r="F74" s="1" t="s">
        <v>35</v>
      </c>
      <c r="G74" s="1" t="s">
        <v>20</v>
      </c>
      <c r="H74" s="1">
        <v>40</v>
      </c>
      <c r="I74" s="1">
        <v>19</v>
      </c>
      <c r="J74" s="1">
        <f t="shared" ref="J74:J104" si="30">L74+M74</f>
        <v>8</v>
      </c>
      <c r="K74" s="1">
        <v>1</v>
      </c>
      <c r="L74" s="1">
        <f t="shared" si="24"/>
        <v>4</v>
      </c>
      <c r="M74" s="1">
        <f t="shared" si="25"/>
        <v>4</v>
      </c>
      <c r="N74" s="1">
        <v>1</v>
      </c>
      <c r="O74" s="1">
        <v>1</v>
      </c>
      <c r="P74" s="1" t="s">
        <v>222</v>
      </c>
      <c r="Q74" s="1"/>
      <c r="R74" s="1" t="str">
        <f t="shared" si="29"/>
        <v/>
      </c>
      <c r="S74" s="25" t="str">
        <f t="shared" si="21"/>
        <v>N/A</v>
      </c>
      <c r="T74" s="1">
        <v>0.5</v>
      </c>
      <c r="U74" s="1">
        <v>0.2</v>
      </c>
      <c r="V74" s="1" t="e">
        <f>IF(OR(ISNUMBER(Table1[[#This Row],[TX Pdc (W)]]), ISNUMBER(Table1[[#This Row],[RX Pdc (W)]])),MAX(Table1[[#This Row],[TX Pdc (W)]],Table1[[#This Row],[RX Pdc (W)]])/Table1[[#This Row],[Array Aperture Size (cm2)]],"N/A")</f>
        <v>#VALUE!</v>
      </c>
      <c r="W74" s="1">
        <f>IF(OR(ISNUMBER(Table1[[#This Row],[TX Pdc (W)]]), ISNUMBER(Table1[[#This Row],[RX Pdc (W)]])),MAX(Table1[[#This Row],[TX Pdc (W)]],Table1[[#This Row],[RX Pdc (W)]])/(Table1[[#This Row],['# of Array Tile]]*Table1[[#This Row],['# of IC per Tile]])/(Table1[[#This Row],[Chip Size (mm2)]]*0.01),"N/A")</f>
        <v>4.6728971962616823</v>
      </c>
      <c r="X74" s="23"/>
      <c r="Y74" s="1">
        <v>1</v>
      </c>
      <c r="Z74" s="1" t="s">
        <v>27</v>
      </c>
      <c r="AA74" s="1" t="s">
        <v>27</v>
      </c>
      <c r="AB74" s="1">
        <v>1</v>
      </c>
      <c r="AC74" s="1" t="s">
        <v>310</v>
      </c>
      <c r="AD74" s="1">
        <v>4</v>
      </c>
      <c r="AE74" s="1">
        <v>4</v>
      </c>
      <c r="AF74" s="1" t="s">
        <v>27</v>
      </c>
      <c r="AG74" s="1" t="s">
        <v>27</v>
      </c>
      <c r="AH74" s="1" t="e">
        <f t="shared" si="26"/>
        <v>#VALUE!</v>
      </c>
      <c r="AI74" s="1" t="e">
        <f t="shared" si="27"/>
        <v>#VALUE!</v>
      </c>
      <c r="AJ74" s="1"/>
      <c r="AK74" s="1"/>
      <c r="AL74" s="1">
        <v>10.7</v>
      </c>
      <c r="AM74" s="1">
        <f>SQRT(10.7)</f>
        <v>3.271085446759225</v>
      </c>
      <c r="AN74" s="1">
        <f>SQRT(10.7)</f>
        <v>3.271085446759225</v>
      </c>
      <c r="AO74" s="1">
        <f t="shared" si="28"/>
        <v>2.6749999999999998</v>
      </c>
      <c r="AP74" s="2"/>
      <c r="AQ74" s="1"/>
      <c r="AR74" s="1"/>
      <c r="AS74" s="1"/>
      <c r="AT74" s="1">
        <v>3.5</v>
      </c>
      <c r="AU74" s="1">
        <v>72</v>
      </c>
      <c r="AV74" s="1">
        <v>105</v>
      </c>
      <c r="AW74" s="1">
        <v>38</v>
      </c>
      <c r="AX74" s="1"/>
    </row>
    <row r="75" spans="1:50" x14ac:dyDescent="0.2">
      <c r="A75" s="1" t="s">
        <v>31</v>
      </c>
      <c r="B75" s="1">
        <v>2021</v>
      </c>
      <c r="C75" s="1">
        <v>6</v>
      </c>
      <c r="D75" s="1" t="s">
        <v>104</v>
      </c>
      <c r="E75" s="29" t="s">
        <v>103</v>
      </c>
      <c r="F75" s="1" t="s">
        <v>35</v>
      </c>
      <c r="G75" s="1" t="s">
        <v>20</v>
      </c>
      <c r="H75" s="1">
        <v>40</v>
      </c>
      <c r="I75" s="1">
        <v>27</v>
      </c>
      <c r="J75" s="1">
        <f t="shared" si="30"/>
        <v>8</v>
      </c>
      <c r="K75" s="1">
        <v>1</v>
      </c>
      <c r="L75" s="1">
        <f t="shared" si="24"/>
        <v>4</v>
      </c>
      <c r="M75" s="1">
        <f t="shared" si="25"/>
        <v>4</v>
      </c>
      <c r="N75" s="1">
        <v>1</v>
      </c>
      <c r="O75" s="1">
        <v>1</v>
      </c>
      <c r="P75" s="1" t="s">
        <v>222</v>
      </c>
      <c r="Q75" s="1"/>
      <c r="R75" s="1" t="str">
        <f t="shared" si="29"/>
        <v/>
      </c>
      <c r="S75" s="25">
        <f t="shared" si="21"/>
        <v>16.420599913279624</v>
      </c>
      <c r="T75" s="1">
        <v>0.5</v>
      </c>
      <c r="U75" s="1">
        <v>0.2</v>
      </c>
      <c r="V75" s="1" t="e">
        <f>IF(OR(ISNUMBER(Table1[[#This Row],[TX Pdc (W)]]), ISNUMBER(Table1[[#This Row],[RX Pdc (W)]])),MAX(Table1[[#This Row],[TX Pdc (W)]],Table1[[#This Row],[RX Pdc (W)]])/Table1[[#This Row],[Array Aperture Size (cm2)]],"N/A")</f>
        <v>#VALUE!</v>
      </c>
      <c r="W75" s="1">
        <f>IF(OR(ISNUMBER(Table1[[#This Row],[TX Pdc (W)]]), ISNUMBER(Table1[[#This Row],[RX Pdc (W)]])),MAX(Table1[[#This Row],[TX Pdc (W)]],Table1[[#This Row],[RX Pdc (W)]])/(Table1[[#This Row],['# of Array Tile]]*Table1[[#This Row],['# of IC per Tile]])/(Table1[[#This Row],[Chip Size (mm2)]]*0.01),"N/A")</f>
        <v>4.6728971962616823</v>
      </c>
      <c r="X75" s="23"/>
      <c r="Y75" s="1">
        <v>1</v>
      </c>
      <c r="Z75" s="1" t="s">
        <v>27</v>
      </c>
      <c r="AA75" s="1" t="s">
        <v>27</v>
      </c>
      <c r="AB75" s="1">
        <v>1</v>
      </c>
      <c r="AC75" s="1" t="s">
        <v>310</v>
      </c>
      <c r="AD75" s="1">
        <v>4</v>
      </c>
      <c r="AE75" s="1">
        <v>4</v>
      </c>
      <c r="AF75" s="1" t="s">
        <v>27</v>
      </c>
      <c r="AG75" s="1" t="s">
        <v>27</v>
      </c>
      <c r="AH75" s="1" t="e">
        <f t="shared" si="26"/>
        <v>#VALUE!</v>
      </c>
      <c r="AI75" s="1" t="e">
        <f t="shared" si="27"/>
        <v>#VALUE!</v>
      </c>
      <c r="AJ75" s="1"/>
      <c r="AK75" s="1"/>
      <c r="AL75" s="1">
        <v>10.7</v>
      </c>
      <c r="AM75" s="1">
        <f>SQRT(10.7)</f>
        <v>3.271085446759225</v>
      </c>
      <c r="AN75" s="1">
        <f>SQRT(10.7)</f>
        <v>3.271085446759225</v>
      </c>
      <c r="AO75" s="1">
        <f t="shared" si="28"/>
        <v>2.6749999999999998</v>
      </c>
      <c r="AP75" s="2"/>
      <c r="AQ75" s="1">
        <v>10.4</v>
      </c>
      <c r="AR75" s="1"/>
      <c r="AS75" s="1"/>
      <c r="AT75" s="1"/>
      <c r="AU75" s="1"/>
      <c r="AV75" s="1">
        <v>105</v>
      </c>
      <c r="AW75" s="1">
        <v>38</v>
      </c>
      <c r="AX75" s="1"/>
    </row>
    <row r="76" spans="1:50" x14ac:dyDescent="0.2">
      <c r="A76" s="1" t="s">
        <v>49</v>
      </c>
      <c r="B76" s="1">
        <v>2021</v>
      </c>
      <c r="C76" s="1">
        <v>7</v>
      </c>
      <c r="D76" s="1" t="s">
        <v>249</v>
      </c>
      <c r="E76" s="29" t="s">
        <v>251</v>
      </c>
      <c r="F76" s="1" t="s">
        <v>63</v>
      </c>
      <c r="G76" s="1" t="s">
        <v>17</v>
      </c>
      <c r="H76" s="1"/>
      <c r="I76" s="1">
        <v>11.7</v>
      </c>
      <c r="J76" s="1">
        <f t="shared" si="30"/>
        <v>1024</v>
      </c>
      <c r="K76" s="1">
        <v>2</v>
      </c>
      <c r="L76" s="1">
        <f t="shared" si="24"/>
        <v>0</v>
      </c>
      <c r="M76" s="1">
        <f t="shared" si="25"/>
        <v>1024</v>
      </c>
      <c r="N76" s="1"/>
      <c r="O76" s="1">
        <v>2</v>
      </c>
      <c r="P76" s="1" t="s">
        <v>223</v>
      </c>
      <c r="Q76" s="1"/>
      <c r="R76" s="1" t="str">
        <f t="shared" si="29"/>
        <v/>
      </c>
      <c r="S76" s="25" t="str">
        <f t="shared" si="21"/>
        <v>N/A</v>
      </c>
      <c r="T76" s="1" t="str">
        <f>IF(AV76="","N/A",AV76*AD76*AB76*Y76/1000)</f>
        <v>N/A</v>
      </c>
      <c r="U76" s="1">
        <v>142</v>
      </c>
      <c r="V76" s="1">
        <f>IF(OR(ISNUMBER(Table1[[#This Row],[TX Pdc (W)]]), ISNUMBER(Table1[[#This Row],[RX Pdc (W)]])),MAX(Table1[[#This Row],[TX Pdc (W)]],Table1[[#This Row],[RX Pdc (W)]])/Table1[[#This Row],[Array Aperture Size (cm2)]],"N/A")</f>
        <v>10.772265210135034</v>
      </c>
      <c r="W76" s="1" t="e">
        <f>IF(OR(ISNUMBER(Table1[[#This Row],[TX Pdc (W)]]), ISNUMBER(Table1[[#This Row],[RX Pdc (W)]])),MAX(Table1[[#This Row],[TX Pdc (W)]],Table1[[#This Row],[RX Pdc (W)]])/(Table1[[#This Row],['# of Array Tile]]*Table1[[#This Row],['# of IC per Tile]])/(Table1[[#This Row],[Chip Size (mm2)]]*0.01),"N/A")</f>
        <v>#VALUE!</v>
      </c>
      <c r="X76" s="23"/>
      <c r="Y76" s="1">
        <v>4</v>
      </c>
      <c r="Z76" s="1" t="s">
        <v>223</v>
      </c>
      <c r="AA76" s="1">
        <v>256</v>
      </c>
      <c r="AB76" s="1">
        <v>64</v>
      </c>
      <c r="AC76" s="1" t="s">
        <v>27</v>
      </c>
      <c r="AD76" s="1"/>
      <c r="AE76" s="1">
        <v>4</v>
      </c>
      <c r="AF76" s="1">
        <v>3.38</v>
      </c>
      <c r="AG76" s="1">
        <v>3.9</v>
      </c>
      <c r="AH76" s="1">
        <f t="shared" si="26"/>
        <v>13.181999999999999</v>
      </c>
      <c r="AI76" s="1">
        <f t="shared" si="27"/>
        <v>1.2873046874999998</v>
      </c>
      <c r="AJ76" s="1" t="s">
        <v>27</v>
      </c>
      <c r="AK76" s="1" t="s">
        <v>27</v>
      </c>
      <c r="AL76" s="1" t="e">
        <f>Table1[[#This Row],[Chip Size -X (mm)]]*Table1[[#This Row],[Chip Size - Y (mm)]]</f>
        <v>#VALUE!</v>
      </c>
      <c r="AM76" s="1" t="s">
        <v>27</v>
      </c>
      <c r="AN76" s="1" t="s">
        <v>27</v>
      </c>
      <c r="AO76" s="1" t="e">
        <f t="shared" si="28"/>
        <v>#VALUE!</v>
      </c>
      <c r="AP76" s="2"/>
      <c r="AQ76" s="1"/>
      <c r="AR76" s="1"/>
      <c r="AS76" s="1"/>
      <c r="AT76" s="1"/>
      <c r="AU76" s="1"/>
      <c r="AV76" s="1"/>
      <c r="AW76" s="1">
        <v>70</v>
      </c>
      <c r="AX76" s="1" t="s">
        <v>253</v>
      </c>
    </row>
    <row r="77" spans="1:50" x14ac:dyDescent="0.2">
      <c r="A77" s="1" t="s">
        <v>68</v>
      </c>
      <c r="B77" s="1">
        <v>2021</v>
      </c>
      <c r="C77" s="1">
        <v>8</v>
      </c>
      <c r="D77" s="1" t="s">
        <v>69</v>
      </c>
      <c r="E77" s="29" t="s">
        <v>70</v>
      </c>
      <c r="F77" s="1" t="s">
        <v>33</v>
      </c>
      <c r="G77" s="1" t="s">
        <v>51</v>
      </c>
      <c r="H77" s="1">
        <v>45</v>
      </c>
      <c r="I77" s="1">
        <v>140</v>
      </c>
      <c r="J77" s="1">
        <f t="shared" si="30"/>
        <v>8</v>
      </c>
      <c r="K77" s="1">
        <v>2</v>
      </c>
      <c r="L77" s="1">
        <f t="shared" si="24"/>
        <v>0</v>
      </c>
      <c r="M77" s="1">
        <f t="shared" si="25"/>
        <v>8</v>
      </c>
      <c r="N77" s="1">
        <v>1</v>
      </c>
      <c r="O77" s="1"/>
      <c r="P77" s="1" t="s">
        <v>224</v>
      </c>
      <c r="Q77" s="1"/>
      <c r="R77" s="1" t="str">
        <f t="shared" si="29"/>
        <v/>
      </c>
      <c r="S77" s="25" t="str">
        <f t="shared" si="21"/>
        <v>N/A</v>
      </c>
      <c r="T77" s="1" t="str">
        <f>IF(AV77="","N/A",AV77*AD77*AB77*Y77/1000)</f>
        <v>N/A</v>
      </c>
      <c r="U77" s="1">
        <f>IF(AW77="","N/A",AW77*AE77*AB77*Y77/1000)</f>
        <v>1.1599999999999999</v>
      </c>
      <c r="V77" s="1" t="e">
        <f>IF(OR(ISNUMBER(Table1[[#This Row],[TX Pdc (W)]]), ISNUMBER(Table1[[#This Row],[RX Pdc (W)]])),MAX(Table1[[#This Row],[TX Pdc (W)]],Table1[[#This Row],[RX Pdc (W)]])/Table1[[#This Row],[Array Aperture Size (cm2)]],"N/A")</f>
        <v>#VALUE!</v>
      </c>
      <c r="W77" s="1">
        <f>IF(OR(ISNUMBER(Table1[[#This Row],[TX Pdc (W)]]), ISNUMBER(Table1[[#This Row],[RX Pdc (W)]])),MAX(Table1[[#This Row],[TX Pdc (W)]],Table1[[#This Row],[RX Pdc (W)]])/(Table1[[#This Row],['# of Array Tile]]*Table1[[#This Row],['# of IC per Tile]])/(Table1[[#This Row],[Chip Size (mm2)]]*0.01),"N/A")</f>
        <v>4.6567643516659967</v>
      </c>
      <c r="X77" s="23"/>
      <c r="Y77" s="1">
        <v>1</v>
      </c>
      <c r="Z77" s="1" t="s">
        <v>228</v>
      </c>
      <c r="AA77" s="1">
        <v>8</v>
      </c>
      <c r="AB77" s="1">
        <v>1</v>
      </c>
      <c r="AC77" s="1" t="s">
        <v>27</v>
      </c>
      <c r="AD77" s="1"/>
      <c r="AE77" s="1">
        <v>8</v>
      </c>
      <c r="AF77" s="1" t="s">
        <v>27</v>
      </c>
      <c r="AG77" s="1" t="s">
        <v>27</v>
      </c>
      <c r="AH77" s="1" t="e">
        <f t="shared" si="26"/>
        <v>#VALUE!</v>
      </c>
      <c r="AI77" s="1" t="e">
        <f t="shared" si="27"/>
        <v>#VALUE!</v>
      </c>
      <c r="AJ77" s="1">
        <v>4.7</v>
      </c>
      <c r="AK77" s="1">
        <v>5.3</v>
      </c>
      <c r="AL77" s="1">
        <f>Table1[[#This Row],[Chip Size -X (mm)]]*Table1[[#This Row],[Chip Size - Y (mm)]]</f>
        <v>24.91</v>
      </c>
      <c r="AM77" s="1">
        <v>3.36</v>
      </c>
      <c r="AN77" s="1">
        <v>4.58</v>
      </c>
      <c r="AO77" s="1">
        <f t="shared" si="28"/>
        <v>3.8472</v>
      </c>
      <c r="AP77" s="2"/>
      <c r="AQ77" s="1"/>
      <c r="AR77" s="1"/>
      <c r="AS77" s="1"/>
      <c r="AT77" s="1">
        <v>7</v>
      </c>
      <c r="AU77" s="1">
        <v>27.5</v>
      </c>
      <c r="AV77" s="1"/>
      <c r="AW77" s="1">
        <v>145</v>
      </c>
      <c r="AX77" s="1"/>
    </row>
    <row r="78" spans="1:50" x14ac:dyDescent="0.2">
      <c r="A78" s="1" t="s">
        <v>49</v>
      </c>
      <c r="B78" s="1">
        <v>2021</v>
      </c>
      <c r="C78" s="1">
        <v>9</v>
      </c>
      <c r="D78" s="1" t="s">
        <v>249</v>
      </c>
      <c r="E78" s="29" t="s">
        <v>250</v>
      </c>
      <c r="F78" s="1" t="s">
        <v>62</v>
      </c>
      <c r="G78" s="1" t="s">
        <v>17</v>
      </c>
      <c r="H78" s="1"/>
      <c r="I78" s="1">
        <v>14</v>
      </c>
      <c r="J78" s="1">
        <f t="shared" si="30"/>
        <v>1024</v>
      </c>
      <c r="K78" s="1">
        <v>2</v>
      </c>
      <c r="L78" s="1">
        <f t="shared" si="24"/>
        <v>1024</v>
      </c>
      <c r="M78" s="1">
        <f t="shared" si="25"/>
        <v>0</v>
      </c>
      <c r="N78" s="1">
        <v>2</v>
      </c>
      <c r="O78" s="1"/>
      <c r="P78" s="1" t="s">
        <v>223</v>
      </c>
      <c r="Q78" s="1">
        <v>74</v>
      </c>
      <c r="R78" s="1">
        <f t="shared" si="29"/>
        <v>1024</v>
      </c>
      <c r="S78" s="25" t="str">
        <f t="shared" si="21"/>
        <v>N/A</v>
      </c>
      <c r="T78" s="1">
        <f>2*164</f>
        <v>328</v>
      </c>
      <c r="U78" s="1" t="str">
        <f>IF(AW78="","N/A",AW78*AE78*AB78*Y78/1000)</f>
        <v>N/A</v>
      </c>
      <c r="V78" s="1">
        <f>IF(OR(ISNUMBER(Table1[[#This Row],[TX Pdc (W)]]), ISNUMBER(Table1[[#This Row],[RX Pdc (W)]])),MAX(Table1[[#This Row],[TX Pdc (W)]],Table1[[#This Row],[RX Pdc (W)]])/Table1[[#This Row],[Array Aperture Size (cm2)]],"N/A")</f>
        <v>34.185183641138956</v>
      </c>
      <c r="W78" s="1" t="e">
        <f>IF(OR(ISNUMBER(Table1[[#This Row],[TX Pdc (W)]]), ISNUMBER(Table1[[#This Row],[RX Pdc (W)]])),MAX(Table1[[#This Row],[TX Pdc (W)]],Table1[[#This Row],[RX Pdc (W)]])/(Table1[[#This Row],['# of Array Tile]]*Table1[[#This Row],['# of IC per Tile]])/(Table1[[#This Row],[Chip Size (mm2)]]*0.01),"N/A")</f>
        <v>#VALUE!</v>
      </c>
      <c r="X78" s="23"/>
      <c r="Y78" s="1">
        <v>4</v>
      </c>
      <c r="Z78" s="1" t="s">
        <v>223</v>
      </c>
      <c r="AA78" s="1">
        <v>256</v>
      </c>
      <c r="AB78" s="1">
        <v>64</v>
      </c>
      <c r="AC78" s="1" t="s">
        <v>27</v>
      </c>
      <c r="AD78" s="1">
        <v>4</v>
      </c>
      <c r="AE78" s="1"/>
      <c r="AF78" s="1">
        <v>3.32</v>
      </c>
      <c r="AG78" s="1">
        <v>2.89</v>
      </c>
      <c r="AH78" s="1">
        <f t="shared" si="26"/>
        <v>9.5947999999999993</v>
      </c>
      <c r="AI78" s="1">
        <f t="shared" si="27"/>
        <v>0.93699218749999991</v>
      </c>
      <c r="AJ78" s="1" t="s">
        <v>27</v>
      </c>
      <c r="AK78" s="1" t="s">
        <v>27</v>
      </c>
      <c r="AL78" s="1" t="e">
        <f>Table1[[#This Row],[Chip Size -X (mm)]]*Table1[[#This Row],[Chip Size - Y (mm)]]</f>
        <v>#VALUE!</v>
      </c>
      <c r="AM78" s="1" t="s">
        <v>27</v>
      </c>
      <c r="AN78" s="1" t="s">
        <v>27</v>
      </c>
      <c r="AO78" s="1" t="e">
        <f t="shared" si="28"/>
        <v>#VALUE!</v>
      </c>
      <c r="AP78" s="2"/>
      <c r="AQ78" s="1"/>
      <c r="AR78" s="1"/>
      <c r="AS78" s="1"/>
      <c r="AT78" s="1"/>
      <c r="AU78" s="1"/>
      <c r="AV78" s="1"/>
      <c r="AW78" s="1"/>
      <c r="AX78" s="1" t="s">
        <v>252</v>
      </c>
    </row>
    <row r="79" spans="1:50" x14ac:dyDescent="0.2">
      <c r="A79" s="1" t="s">
        <v>49</v>
      </c>
      <c r="B79" s="1">
        <v>2021</v>
      </c>
      <c r="C79" s="1">
        <v>11</v>
      </c>
      <c r="D79" s="1" t="s">
        <v>249</v>
      </c>
      <c r="E79" s="29" t="s">
        <v>248</v>
      </c>
      <c r="F79" s="1" t="s">
        <v>63</v>
      </c>
      <c r="G79" s="1" t="s">
        <v>17</v>
      </c>
      <c r="H79" s="1"/>
      <c r="I79" s="1">
        <v>11.7</v>
      </c>
      <c r="J79" s="1">
        <f t="shared" si="30"/>
        <v>256</v>
      </c>
      <c r="K79" s="1">
        <v>2</v>
      </c>
      <c r="L79" s="1">
        <f t="shared" si="24"/>
        <v>0</v>
      </c>
      <c r="M79" s="1">
        <f t="shared" si="25"/>
        <v>256</v>
      </c>
      <c r="N79" s="1"/>
      <c r="O79" s="1">
        <v>2</v>
      </c>
      <c r="P79" s="1" t="s">
        <v>223</v>
      </c>
      <c r="Q79" s="1"/>
      <c r="R79" s="1" t="str">
        <f t="shared" si="29"/>
        <v/>
      </c>
      <c r="S79" s="25" t="str">
        <f t="shared" si="21"/>
        <v>N/A</v>
      </c>
      <c r="T79" s="1" t="str">
        <f>IF(AV79="","N/A",AV79*AD79*AB79*Y79/1000)</f>
        <v>N/A</v>
      </c>
      <c r="U79" s="1">
        <v>38.4</v>
      </c>
      <c r="V79" s="1">
        <f>IF(OR(ISNUMBER(Table1[[#This Row],[TX Pdc (W)]]), ISNUMBER(Table1[[#This Row],[RX Pdc (W)]])),MAX(Table1[[#This Row],[TX Pdc (W)]],Table1[[#This Row],[RX Pdc (W)]])/Table1[[#This Row],[Array Aperture Size (cm2)]],"N/A")</f>
        <v>0.11583710407239818</v>
      </c>
      <c r="W79" s="1" t="e">
        <f>IF(OR(ISNUMBER(Table1[[#This Row],[TX Pdc (W)]]), ISNUMBER(Table1[[#This Row],[RX Pdc (W)]])),MAX(Table1[[#This Row],[TX Pdc (W)]],Table1[[#This Row],[RX Pdc (W)]])/(Table1[[#This Row],['# of Array Tile]]*Table1[[#This Row],['# of IC per Tile]])/(Table1[[#This Row],[Chip Size (mm2)]]*0.01),"N/A")</f>
        <v>#VALUE!</v>
      </c>
      <c r="X79" s="23"/>
      <c r="Y79" s="1">
        <v>1</v>
      </c>
      <c r="Z79" s="1" t="s">
        <v>223</v>
      </c>
      <c r="AA79" s="1">
        <v>256</v>
      </c>
      <c r="AB79" s="1">
        <v>64</v>
      </c>
      <c r="AC79" s="1" t="s">
        <v>27</v>
      </c>
      <c r="AD79" s="1"/>
      <c r="AE79" s="1">
        <v>4</v>
      </c>
      <c r="AF79" s="1">
        <v>19.5</v>
      </c>
      <c r="AG79" s="1">
        <v>17</v>
      </c>
      <c r="AH79" s="1">
        <f t="shared" si="26"/>
        <v>331.5</v>
      </c>
      <c r="AI79" s="1">
        <f t="shared" si="27"/>
        <v>129.4921875</v>
      </c>
      <c r="AJ79" s="1" t="s">
        <v>27</v>
      </c>
      <c r="AK79" s="1" t="s">
        <v>27</v>
      </c>
      <c r="AL79" s="1" t="e">
        <f>Table1[[#This Row],[Chip Size -X (mm)]]*Table1[[#This Row],[Chip Size - Y (mm)]]</f>
        <v>#VALUE!</v>
      </c>
      <c r="AM79" s="1" t="s">
        <v>27</v>
      </c>
      <c r="AN79" s="1" t="s">
        <v>27</v>
      </c>
      <c r="AO79" s="1" t="e">
        <f t="shared" si="28"/>
        <v>#VALUE!</v>
      </c>
      <c r="AP79" s="2"/>
      <c r="AQ79" s="1"/>
      <c r="AR79" s="1"/>
      <c r="AS79" s="1"/>
      <c r="AT79" s="1">
        <v>5.6</v>
      </c>
      <c r="AU79" s="1">
        <v>12</v>
      </c>
      <c r="AV79" s="1"/>
      <c r="AW79" s="1"/>
      <c r="AX79" s="1" t="s">
        <v>254</v>
      </c>
    </row>
    <row r="80" spans="1:50" x14ac:dyDescent="0.2">
      <c r="A80" s="1" t="s">
        <v>68</v>
      </c>
      <c r="B80" s="1">
        <v>2021</v>
      </c>
      <c r="C80" s="1">
        <v>12</v>
      </c>
      <c r="D80" s="1" t="s">
        <v>119</v>
      </c>
      <c r="E80" s="29" t="s">
        <v>125</v>
      </c>
      <c r="F80" s="1" t="s">
        <v>26</v>
      </c>
      <c r="G80" s="1" t="s">
        <v>20</v>
      </c>
      <c r="H80" s="1">
        <v>65</v>
      </c>
      <c r="I80" s="1">
        <v>450</v>
      </c>
      <c r="J80" s="1">
        <f t="shared" si="30"/>
        <v>16</v>
      </c>
      <c r="K80" s="1">
        <v>2</v>
      </c>
      <c r="L80" s="1">
        <f t="shared" si="24"/>
        <v>16</v>
      </c>
      <c r="M80" s="1">
        <f t="shared" si="25"/>
        <v>0</v>
      </c>
      <c r="N80" s="1">
        <v>1</v>
      </c>
      <c r="O80" s="1"/>
      <c r="P80" s="1" t="s">
        <v>218</v>
      </c>
      <c r="Q80" s="1">
        <v>28.2</v>
      </c>
      <c r="R80" s="1">
        <f t="shared" si="29"/>
        <v>16</v>
      </c>
      <c r="S80" s="25">
        <v>-3.2</v>
      </c>
      <c r="T80" s="1">
        <v>0.34699999999999998</v>
      </c>
      <c r="U80" s="1" t="str">
        <f t="shared" ref="U80:U98" si="31">IF(AW80="","N/A",AW80*AE80*AB80*Y80/1000)</f>
        <v>N/A</v>
      </c>
      <c r="V80" s="1" t="e">
        <f>IF(OR(ISNUMBER(Table1[[#This Row],[TX Pdc (W)]]), ISNUMBER(Table1[[#This Row],[RX Pdc (W)]])),MAX(Table1[[#This Row],[TX Pdc (W)]],Table1[[#This Row],[RX Pdc (W)]])/Table1[[#This Row],[Array Aperture Size (cm2)]],"N/A")</f>
        <v>#VALUE!</v>
      </c>
      <c r="W80" s="1">
        <f>IF(OR(ISNUMBER(Table1[[#This Row],[TX Pdc (W)]]), ISNUMBER(Table1[[#This Row],[RX Pdc (W)]])),MAX(Table1[[#This Row],[TX Pdc (W)]],Table1[[#This Row],[RX Pdc (W)]])/(Table1[[#This Row],['# of Array Tile]]*Table1[[#This Row],['# of IC per Tile]])/(Table1[[#This Row],[Chip Size (mm2)]]*0.01),"N/A")</f>
        <v>22.243589743589741</v>
      </c>
      <c r="X80" s="23"/>
      <c r="Y80" s="1">
        <v>1</v>
      </c>
      <c r="Z80" s="1" t="s">
        <v>230</v>
      </c>
      <c r="AA80" s="1">
        <v>16</v>
      </c>
      <c r="AB80" s="1">
        <v>1</v>
      </c>
      <c r="AC80" s="1" t="s">
        <v>27</v>
      </c>
      <c r="AD80" s="1">
        <v>16</v>
      </c>
      <c r="AE80" s="1"/>
      <c r="AF80" s="1" t="s">
        <v>27</v>
      </c>
      <c r="AG80" s="1" t="s">
        <v>27</v>
      </c>
      <c r="AH80" s="1" t="e">
        <f t="shared" si="26"/>
        <v>#VALUE!</v>
      </c>
      <c r="AI80" s="1" t="e">
        <f t="shared" si="27"/>
        <v>#VALUE!</v>
      </c>
      <c r="AJ80" s="1">
        <v>1.3</v>
      </c>
      <c r="AK80" s="1">
        <v>1.2</v>
      </c>
      <c r="AL80" s="1">
        <f>Table1[[#This Row],[Chip Size -X (mm)]]*Table1[[#This Row],[Chip Size - Y (mm)]]</f>
        <v>1.56</v>
      </c>
      <c r="AM80" s="1">
        <v>0.98</v>
      </c>
      <c r="AN80" s="1">
        <v>0.56000000000000005</v>
      </c>
      <c r="AO80" s="1">
        <f t="shared" si="28"/>
        <v>6.8600000000000008E-2</v>
      </c>
      <c r="AP80" s="2"/>
      <c r="AQ80" s="1"/>
      <c r="AR80" s="1"/>
      <c r="AS80" s="1"/>
      <c r="AT80" s="1"/>
      <c r="AU80" s="1"/>
      <c r="AV80" s="1"/>
      <c r="AW80" s="1"/>
      <c r="AX80" s="1"/>
    </row>
    <row r="81" spans="1:50" x14ac:dyDescent="0.2">
      <c r="A81" s="1" t="s">
        <v>68</v>
      </c>
      <c r="B81" s="1">
        <v>2021</v>
      </c>
      <c r="C81" s="1">
        <v>12</v>
      </c>
      <c r="D81" s="1" t="s">
        <v>102</v>
      </c>
      <c r="E81" s="29" t="s">
        <v>101</v>
      </c>
      <c r="F81" s="1" t="s">
        <v>41</v>
      </c>
      <c r="G81" s="1" t="s">
        <v>51</v>
      </c>
      <c r="H81" s="1">
        <v>45</v>
      </c>
      <c r="I81" s="1">
        <v>30</v>
      </c>
      <c r="J81" s="1">
        <f t="shared" si="30"/>
        <v>8</v>
      </c>
      <c r="K81" s="1">
        <v>1</v>
      </c>
      <c r="L81" s="1">
        <f t="shared" si="24"/>
        <v>8</v>
      </c>
      <c r="M81" s="1">
        <f t="shared" si="25"/>
        <v>0</v>
      </c>
      <c r="N81" s="1">
        <v>1</v>
      </c>
      <c r="O81" s="1"/>
      <c r="P81" s="1" t="s">
        <v>223</v>
      </c>
      <c r="Q81" s="1"/>
      <c r="R81" s="1" t="str">
        <f t="shared" si="29"/>
        <v/>
      </c>
      <c r="S81" s="25">
        <f t="shared" ref="S81:S102" si="32">IF(AQ81="","N/A",10*LOG10(10^(AQ81/10)*AD81*AB81*Y81))</f>
        <v>27.030899869919441</v>
      </c>
      <c r="T81" s="1">
        <f t="shared" ref="T81:T98" si="33">IF(AV81="","N/A",AV81*AD81*AB81*Y81/1000)</f>
        <v>2.4</v>
      </c>
      <c r="U81" s="1" t="str">
        <f t="shared" si="31"/>
        <v>N/A</v>
      </c>
      <c r="V81" s="1">
        <f>IF(OR(ISNUMBER(Table1[[#This Row],[TX Pdc (W)]]), ISNUMBER(Table1[[#This Row],[RX Pdc (W)]])),MAX(Table1[[#This Row],[TX Pdc (W)]],Table1[[#This Row],[RX Pdc (W)]])/Table1[[#This Row],[Array Aperture Size (cm2)]],"N/A")</f>
        <v>0.51701852649719937</v>
      </c>
      <c r="W81" s="1">
        <f>IF(OR(ISNUMBER(Table1[[#This Row],[TX Pdc (W)]]), ISNUMBER(Table1[[#This Row],[RX Pdc (W)]])),MAX(Table1[[#This Row],[TX Pdc (W)]],Table1[[#This Row],[RX Pdc (W)]])/(Table1[[#This Row],['# of Array Tile]]*Table1[[#This Row],['# of IC per Tile]])/(Table1[[#This Row],[Chip Size (mm2)]]*0.01),"N/A")</f>
        <v>18.580453363062063</v>
      </c>
      <c r="X81" s="23"/>
      <c r="Y81" s="1">
        <v>1</v>
      </c>
      <c r="Z81" s="1" t="s">
        <v>223</v>
      </c>
      <c r="AA81" s="1">
        <v>8</v>
      </c>
      <c r="AB81" s="1">
        <v>1</v>
      </c>
      <c r="AC81" s="1" t="s">
        <v>27</v>
      </c>
      <c r="AD81" s="1">
        <v>8</v>
      </c>
      <c r="AE81" s="1"/>
      <c r="AF81" s="1">
        <v>4.22</v>
      </c>
      <c r="AG81" s="1">
        <v>1.1000000000000001</v>
      </c>
      <c r="AH81" s="1">
        <f t="shared" si="26"/>
        <v>4.6420000000000003</v>
      </c>
      <c r="AI81" s="1">
        <f t="shared" si="27"/>
        <v>58.025000000000006</v>
      </c>
      <c r="AJ81" s="1">
        <v>2.34</v>
      </c>
      <c r="AK81" s="1">
        <v>5.52</v>
      </c>
      <c r="AL81" s="1">
        <f>Table1[[#This Row],[Chip Size -X (mm)]]*Table1[[#This Row],[Chip Size - Y (mm)]]</f>
        <v>12.916799999999999</v>
      </c>
      <c r="AM81" s="1">
        <v>5.28</v>
      </c>
      <c r="AN81" s="1">
        <v>2</v>
      </c>
      <c r="AO81" s="1">
        <f t="shared" si="28"/>
        <v>2.64</v>
      </c>
      <c r="AP81" s="2"/>
      <c r="AQ81" s="1">
        <v>18</v>
      </c>
      <c r="AR81" s="1"/>
      <c r="AS81" s="1"/>
      <c r="AT81" s="1"/>
      <c r="AU81" s="1"/>
      <c r="AV81" s="1">
        <v>300</v>
      </c>
      <c r="AW81" s="1"/>
      <c r="AX81" s="1"/>
    </row>
    <row r="82" spans="1:50" x14ac:dyDescent="0.2">
      <c r="A82" s="1" t="s">
        <v>68</v>
      </c>
      <c r="B82" s="1">
        <v>2021</v>
      </c>
      <c r="C82" s="1">
        <v>12</v>
      </c>
      <c r="D82" s="1" t="s">
        <v>108</v>
      </c>
      <c r="E82" s="29" t="s">
        <v>107</v>
      </c>
      <c r="F82" s="1" t="s">
        <v>62</v>
      </c>
      <c r="G82" s="1" t="s">
        <v>17</v>
      </c>
      <c r="H82" s="1">
        <v>180</v>
      </c>
      <c r="I82" s="1">
        <v>18</v>
      </c>
      <c r="J82" s="1">
        <f t="shared" si="30"/>
        <v>8</v>
      </c>
      <c r="K82" s="1">
        <v>1</v>
      </c>
      <c r="L82" s="1">
        <f t="shared" si="24"/>
        <v>8</v>
      </c>
      <c r="M82" s="1">
        <f t="shared" si="25"/>
        <v>0</v>
      </c>
      <c r="N82" s="1">
        <v>1</v>
      </c>
      <c r="O82" s="1"/>
      <c r="P82" s="1" t="s">
        <v>223</v>
      </c>
      <c r="Q82" s="1">
        <v>27</v>
      </c>
      <c r="R82" s="1">
        <f t="shared" si="29"/>
        <v>8</v>
      </c>
      <c r="S82" s="25">
        <f t="shared" si="32"/>
        <v>21.030899869919434</v>
      </c>
      <c r="T82" s="1">
        <f t="shared" si="33"/>
        <v>2</v>
      </c>
      <c r="U82" s="1" t="str">
        <f t="shared" si="31"/>
        <v>N/A</v>
      </c>
      <c r="V82" s="1">
        <f>IF(OR(ISNUMBER(Table1[[#This Row],[TX Pdc (W)]]), ISNUMBER(Table1[[#This Row],[RX Pdc (W)]])),MAX(Table1[[#This Row],[TX Pdc (W)]],Table1[[#This Row],[RX Pdc (W)]])/Table1[[#This Row],[Array Aperture Size (cm2)]],"N/A")</f>
        <v>0.8771929824561403</v>
      </c>
      <c r="W82" s="1">
        <f>IF(OR(ISNUMBER(Table1[[#This Row],[TX Pdc (W)]]), ISNUMBER(Table1[[#This Row],[RX Pdc (W)]])),MAX(Table1[[#This Row],[TX Pdc (W)]],Table1[[#This Row],[RX Pdc (W)]])/(Table1[[#This Row],['# of Array Tile]]*Table1[[#This Row],['# of IC per Tile]])/(Table1[[#This Row],[Chip Size (mm2)]]*0.01),"N/A")</f>
        <v>8</v>
      </c>
      <c r="X82" s="23"/>
      <c r="Y82" s="1">
        <v>1</v>
      </c>
      <c r="Z82" s="1" t="s">
        <v>223</v>
      </c>
      <c r="AA82" s="1">
        <v>8</v>
      </c>
      <c r="AB82" s="1">
        <v>2</v>
      </c>
      <c r="AC82" s="1" t="s">
        <v>27</v>
      </c>
      <c r="AD82" s="1">
        <v>4</v>
      </c>
      <c r="AE82" s="1"/>
      <c r="AF82" s="1">
        <v>3</v>
      </c>
      <c r="AG82" s="1">
        <v>0.76</v>
      </c>
      <c r="AH82" s="1">
        <f t="shared" si="26"/>
        <v>2.2800000000000002</v>
      </c>
      <c r="AI82" s="1">
        <f t="shared" si="27"/>
        <v>28.500000000000004</v>
      </c>
      <c r="AJ82" s="1">
        <v>5</v>
      </c>
      <c r="AK82" s="1">
        <v>2.5</v>
      </c>
      <c r="AL82" s="1">
        <f>Table1[[#This Row],[Chip Size -X (mm)]]*Table1[[#This Row],[Chip Size - Y (mm)]]</f>
        <v>12.5</v>
      </c>
      <c r="AM82" s="1">
        <v>4.0199999999999996</v>
      </c>
      <c r="AN82" s="1">
        <v>2.2799999999999998</v>
      </c>
      <c r="AO82" s="1">
        <f t="shared" si="28"/>
        <v>4.5827999999999989</v>
      </c>
      <c r="AP82" s="2"/>
      <c r="AQ82" s="1">
        <v>12</v>
      </c>
      <c r="AR82" s="1"/>
      <c r="AS82" s="1">
        <v>34.299999999999997</v>
      </c>
      <c r="AT82" s="1"/>
      <c r="AU82" s="1"/>
      <c r="AV82" s="1">
        <v>250</v>
      </c>
      <c r="AW82" s="1"/>
      <c r="AX82" s="1"/>
    </row>
    <row r="83" spans="1:50" x14ac:dyDescent="0.2">
      <c r="A83" s="1" t="s">
        <v>68</v>
      </c>
      <c r="B83" s="1">
        <v>2021</v>
      </c>
      <c r="C83" s="1">
        <v>12</v>
      </c>
      <c r="D83" s="1" t="s">
        <v>108</v>
      </c>
      <c r="E83" s="29" t="s">
        <v>107</v>
      </c>
      <c r="F83" s="1" t="s">
        <v>62</v>
      </c>
      <c r="G83" s="1" t="s">
        <v>17</v>
      </c>
      <c r="H83" s="1">
        <v>180</v>
      </c>
      <c r="I83" s="1">
        <v>30</v>
      </c>
      <c r="J83" s="1">
        <f t="shared" si="30"/>
        <v>8</v>
      </c>
      <c r="K83" s="1">
        <v>1</v>
      </c>
      <c r="L83" s="1">
        <f t="shared" si="24"/>
        <v>8</v>
      </c>
      <c r="M83" s="1">
        <f t="shared" si="25"/>
        <v>0</v>
      </c>
      <c r="N83" s="1">
        <v>1</v>
      </c>
      <c r="O83" s="1"/>
      <c r="P83" s="1" t="s">
        <v>223</v>
      </c>
      <c r="Q83" s="1">
        <v>34</v>
      </c>
      <c r="R83" s="1">
        <f t="shared" si="29"/>
        <v>8</v>
      </c>
      <c r="S83" s="25">
        <f t="shared" si="32"/>
        <v>23.630899869919439</v>
      </c>
      <c r="T83" s="1">
        <f t="shared" si="33"/>
        <v>2</v>
      </c>
      <c r="U83" s="1" t="str">
        <f t="shared" si="31"/>
        <v>N/A</v>
      </c>
      <c r="V83" s="1">
        <f>IF(OR(ISNUMBER(Table1[[#This Row],[TX Pdc (W)]]), ISNUMBER(Table1[[#This Row],[RX Pdc (W)]])),MAX(Table1[[#This Row],[TX Pdc (W)]],Table1[[#This Row],[RX Pdc (W)]])/Table1[[#This Row],[Array Aperture Size (cm2)]],"N/A")</f>
        <v>0.8771929824561403</v>
      </c>
      <c r="W83" s="1">
        <f>IF(OR(ISNUMBER(Table1[[#This Row],[TX Pdc (W)]]), ISNUMBER(Table1[[#This Row],[RX Pdc (W)]])),MAX(Table1[[#This Row],[TX Pdc (W)]],Table1[[#This Row],[RX Pdc (W)]])/(Table1[[#This Row],['# of Array Tile]]*Table1[[#This Row],['# of IC per Tile]])/(Table1[[#This Row],[Chip Size (mm2)]]*0.01),"N/A")</f>
        <v>8</v>
      </c>
      <c r="X83" s="23"/>
      <c r="Y83" s="1">
        <v>1</v>
      </c>
      <c r="Z83" s="1" t="s">
        <v>223</v>
      </c>
      <c r="AA83" s="1">
        <v>8</v>
      </c>
      <c r="AB83" s="1">
        <v>2</v>
      </c>
      <c r="AC83" s="1" t="s">
        <v>27</v>
      </c>
      <c r="AD83" s="1">
        <v>4</v>
      </c>
      <c r="AE83" s="1"/>
      <c r="AF83" s="1">
        <v>3</v>
      </c>
      <c r="AG83" s="1">
        <v>0.76</v>
      </c>
      <c r="AH83" s="1">
        <f t="shared" si="26"/>
        <v>2.2800000000000002</v>
      </c>
      <c r="AI83" s="1">
        <f t="shared" si="27"/>
        <v>28.500000000000004</v>
      </c>
      <c r="AJ83" s="1">
        <v>5</v>
      </c>
      <c r="AK83" s="1">
        <v>2.5</v>
      </c>
      <c r="AL83" s="1">
        <f>Table1[[#This Row],[Chip Size -X (mm)]]*Table1[[#This Row],[Chip Size - Y (mm)]]</f>
        <v>12.5</v>
      </c>
      <c r="AM83" s="1">
        <v>4.0199999999999996</v>
      </c>
      <c r="AN83" s="1">
        <v>2.2799999999999998</v>
      </c>
      <c r="AO83" s="1">
        <f t="shared" si="28"/>
        <v>4.5827999999999989</v>
      </c>
      <c r="AP83" s="2"/>
      <c r="AQ83" s="1">
        <v>14.6</v>
      </c>
      <c r="AR83" s="1"/>
      <c r="AS83" s="1">
        <v>34.299999999999997</v>
      </c>
      <c r="AT83" s="1"/>
      <c r="AU83" s="1"/>
      <c r="AV83" s="1">
        <v>250</v>
      </c>
      <c r="AW83" s="1"/>
      <c r="AX83" s="1"/>
    </row>
    <row r="84" spans="1:50" x14ac:dyDescent="0.2">
      <c r="A84" s="1" t="s">
        <v>68</v>
      </c>
      <c r="B84" s="1">
        <v>2021</v>
      </c>
      <c r="C84" s="1">
        <v>12</v>
      </c>
      <c r="D84" s="1" t="s">
        <v>108</v>
      </c>
      <c r="E84" s="29" t="s">
        <v>107</v>
      </c>
      <c r="F84" s="1" t="s">
        <v>62</v>
      </c>
      <c r="G84" s="1" t="s">
        <v>17</v>
      </c>
      <c r="H84" s="1">
        <v>180</v>
      </c>
      <c r="I84" s="1">
        <v>50</v>
      </c>
      <c r="J84" s="1">
        <f t="shared" si="30"/>
        <v>8</v>
      </c>
      <c r="K84" s="1">
        <v>1</v>
      </c>
      <c r="L84" s="1">
        <f t="shared" si="24"/>
        <v>8</v>
      </c>
      <c r="M84" s="1">
        <f t="shared" si="25"/>
        <v>0</v>
      </c>
      <c r="N84" s="1">
        <v>1</v>
      </c>
      <c r="O84" s="1"/>
      <c r="P84" s="1" t="s">
        <v>223</v>
      </c>
      <c r="Q84" s="1">
        <v>33</v>
      </c>
      <c r="R84" s="1">
        <f t="shared" si="29"/>
        <v>8</v>
      </c>
      <c r="S84" s="25">
        <f t="shared" si="32"/>
        <v>22.93089986991944</v>
      </c>
      <c r="T84" s="1">
        <f t="shared" si="33"/>
        <v>2</v>
      </c>
      <c r="U84" s="1" t="str">
        <f t="shared" si="31"/>
        <v>N/A</v>
      </c>
      <c r="V84" s="1">
        <f>IF(OR(ISNUMBER(Table1[[#This Row],[TX Pdc (W)]]), ISNUMBER(Table1[[#This Row],[RX Pdc (W)]])),MAX(Table1[[#This Row],[TX Pdc (W)]],Table1[[#This Row],[RX Pdc (W)]])/Table1[[#This Row],[Array Aperture Size (cm2)]],"N/A")</f>
        <v>0.8771929824561403</v>
      </c>
      <c r="W84" s="1">
        <f>IF(OR(ISNUMBER(Table1[[#This Row],[TX Pdc (W)]]), ISNUMBER(Table1[[#This Row],[RX Pdc (W)]])),MAX(Table1[[#This Row],[TX Pdc (W)]],Table1[[#This Row],[RX Pdc (W)]])/(Table1[[#This Row],['# of Array Tile]]*Table1[[#This Row],['# of IC per Tile]])/(Table1[[#This Row],[Chip Size (mm2)]]*0.01),"N/A")</f>
        <v>8</v>
      </c>
      <c r="X84" s="23"/>
      <c r="Y84" s="1">
        <v>1</v>
      </c>
      <c r="Z84" s="1" t="s">
        <v>223</v>
      </c>
      <c r="AA84" s="1">
        <v>8</v>
      </c>
      <c r="AB84" s="1">
        <v>2</v>
      </c>
      <c r="AC84" s="1" t="s">
        <v>27</v>
      </c>
      <c r="AD84" s="1">
        <v>4</v>
      </c>
      <c r="AE84" s="1"/>
      <c r="AF84" s="1">
        <v>3</v>
      </c>
      <c r="AG84" s="1">
        <v>0.76</v>
      </c>
      <c r="AH84" s="1">
        <f t="shared" si="26"/>
        <v>2.2800000000000002</v>
      </c>
      <c r="AI84" s="1">
        <f t="shared" si="27"/>
        <v>28.500000000000004</v>
      </c>
      <c r="AJ84" s="1">
        <v>5</v>
      </c>
      <c r="AK84" s="1">
        <v>2.5</v>
      </c>
      <c r="AL84" s="1">
        <f>Table1[[#This Row],[Chip Size -X (mm)]]*Table1[[#This Row],[Chip Size - Y (mm)]]</f>
        <v>12.5</v>
      </c>
      <c r="AM84" s="1">
        <v>4.0199999999999996</v>
      </c>
      <c r="AN84" s="1">
        <v>2.2799999999999998</v>
      </c>
      <c r="AO84" s="1">
        <f t="shared" si="28"/>
        <v>4.5827999999999989</v>
      </c>
      <c r="AP84" s="2"/>
      <c r="AQ84" s="1">
        <v>13.9</v>
      </c>
      <c r="AR84" s="1"/>
      <c r="AS84" s="1">
        <v>25</v>
      </c>
      <c r="AT84" s="1"/>
      <c r="AU84" s="1"/>
      <c r="AV84" s="1">
        <v>250</v>
      </c>
      <c r="AW84" s="1"/>
      <c r="AX84" s="1"/>
    </row>
    <row r="85" spans="1:50" x14ac:dyDescent="0.2">
      <c r="A85" s="1" t="s">
        <v>68</v>
      </c>
      <c r="B85" s="1">
        <v>2022</v>
      </c>
      <c r="C85" s="1">
        <v>1</v>
      </c>
      <c r="D85" s="1" t="s">
        <v>115</v>
      </c>
      <c r="E85" s="29" t="s">
        <v>114</v>
      </c>
      <c r="F85" s="1" t="s">
        <v>35</v>
      </c>
      <c r="G85" s="1" t="s">
        <v>20</v>
      </c>
      <c r="H85" s="1">
        <v>65</v>
      </c>
      <c r="I85" s="1">
        <v>310</v>
      </c>
      <c r="J85" s="1">
        <f t="shared" si="30"/>
        <v>16</v>
      </c>
      <c r="K85" s="1">
        <v>2</v>
      </c>
      <c r="L85" s="1">
        <f t="shared" si="24"/>
        <v>8</v>
      </c>
      <c r="M85" s="1">
        <f t="shared" si="25"/>
        <v>8</v>
      </c>
      <c r="N85" s="1">
        <v>1</v>
      </c>
      <c r="O85" s="1">
        <v>1</v>
      </c>
      <c r="P85" s="1" t="s">
        <v>218</v>
      </c>
      <c r="Q85" s="1"/>
      <c r="R85" s="1" t="str">
        <f t="shared" si="29"/>
        <v/>
      </c>
      <c r="S85" s="25" t="str">
        <f t="shared" si="32"/>
        <v>N/A</v>
      </c>
      <c r="T85" s="1">
        <f t="shared" si="33"/>
        <v>1.232</v>
      </c>
      <c r="U85" s="1">
        <f t="shared" si="31"/>
        <v>1.3280000000000001</v>
      </c>
      <c r="V85" s="1">
        <f>IF(OR(ISNUMBER(Table1[[#This Row],[TX Pdc (W)]]), ISNUMBER(Table1[[#This Row],[RX Pdc (W)]])),MAX(Table1[[#This Row],[TX Pdc (W)]],Table1[[#This Row],[RX Pdc (W)]])/Table1[[#This Row],[Array Aperture Size (cm2)]],"N/A")</f>
        <v>28.076109936575047</v>
      </c>
      <c r="W85" s="1">
        <f>IF(OR(ISNUMBER(Table1[[#This Row],[TX Pdc (W)]]), ISNUMBER(Table1[[#This Row],[RX Pdc (W)]])),MAX(Table1[[#This Row],[TX Pdc (W)]],Table1[[#This Row],[RX Pdc (W)]])/(Table1[[#This Row],['# of Array Tile]]*Table1[[#This Row],['# of IC per Tile]])/(Table1[[#This Row],[Chip Size (mm2)]]*0.01),"N/A")</f>
        <v>24.322344322344318</v>
      </c>
      <c r="X85" s="23"/>
      <c r="Y85" s="1">
        <v>1</v>
      </c>
      <c r="Z85" s="1" t="s">
        <v>230</v>
      </c>
      <c r="AA85" s="1">
        <v>8</v>
      </c>
      <c r="AB85" s="1">
        <v>1</v>
      </c>
      <c r="AC85" s="1" t="s">
        <v>309</v>
      </c>
      <c r="AD85" s="1">
        <v>8</v>
      </c>
      <c r="AE85" s="1">
        <v>8</v>
      </c>
      <c r="AF85" s="1">
        <f>Table1[[#This Row],[Chip Core Size - X (mm)]]/10</f>
        <v>0.22000000000000003</v>
      </c>
      <c r="AG85" s="1">
        <f>Table1[[#This Row],[Chip Core Size -Y (mm)]]/10</f>
        <v>0.215</v>
      </c>
      <c r="AH85" s="1">
        <f t="shared" si="26"/>
        <v>4.7300000000000009E-2</v>
      </c>
      <c r="AI85" s="1">
        <f t="shared" si="27"/>
        <v>0.59125000000000005</v>
      </c>
      <c r="AJ85" s="1">
        <v>2.6</v>
      </c>
      <c r="AK85" s="1">
        <v>2.1</v>
      </c>
      <c r="AL85" s="1">
        <f>Table1[[#This Row],[Chip Size -X (mm)]]*Table1[[#This Row],[Chip Size - Y (mm)]]</f>
        <v>5.4600000000000009</v>
      </c>
      <c r="AM85" s="1">
        <v>2.2000000000000002</v>
      </c>
      <c r="AN85" s="1">
        <v>2.15</v>
      </c>
      <c r="AO85" s="1">
        <f t="shared" si="28"/>
        <v>0.59125000000000005</v>
      </c>
      <c r="AP85" s="2"/>
      <c r="AQ85" s="1"/>
      <c r="AR85" s="1"/>
      <c r="AS85" s="1"/>
      <c r="AT85" s="1"/>
      <c r="AU85" s="1"/>
      <c r="AV85" s="1">
        <v>154</v>
      </c>
      <c r="AW85" s="1">
        <v>166</v>
      </c>
      <c r="AX85" s="1"/>
    </row>
    <row r="86" spans="1:50" x14ac:dyDescent="0.2">
      <c r="A86" s="1" t="s">
        <v>68</v>
      </c>
      <c r="B86" s="1">
        <v>2022</v>
      </c>
      <c r="C86" s="1">
        <v>1</v>
      </c>
      <c r="D86" s="1" t="s">
        <v>111</v>
      </c>
      <c r="E86" s="29" t="s">
        <v>110</v>
      </c>
      <c r="F86" s="1" t="s">
        <v>151</v>
      </c>
      <c r="G86" s="1" t="s">
        <v>20</v>
      </c>
      <c r="H86" s="1">
        <v>65</v>
      </c>
      <c r="I86" s="1">
        <v>28</v>
      </c>
      <c r="J86" s="1">
        <f t="shared" si="30"/>
        <v>36</v>
      </c>
      <c r="K86" s="1">
        <v>2</v>
      </c>
      <c r="L86" s="1">
        <f t="shared" si="24"/>
        <v>32</v>
      </c>
      <c r="M86" s="1">
        <f t="shared" si="25"/>
        <v>4</v>
      </c>
      <c r="N86" s="1">
        <v>1</v>
      </c>
      <c r="O86" s="1">
        <v>1</v>
      </c>
      <c r="P86" s="1" t="s">
        <v>223</v>
      </c>
      <c r="Q86" s="1">
        <v>-2</v>
      </c>
      <c r="R86" s="1">
        <f t="shared" si="29"/>
        <v>32</v>
      </c>
      <c r="S86" s="25" t="str">
        <f t="shared" si="32"/>
        <v>N/A</v>
      </c>
      <c r="T86" s="1">
        <f t="shared" si="33"/>
        <v>9.5999999999999992E-4</v>
      </c>
      <c r="U86" s="1">
        <f t="shared" si="31"/>
        <v>1.1999999999999999E-4</v>
      </c>
      <c r="V86" s="1" t="e">
        <f>IF(OR(ISNUMBER(Table1[[#This Row],[TX Pdc (W)]]), ISNUMBER(Table1[[#This Row],[RX Pdc (W)]])),MAX(Table1[[#This Row],[TX Pdc (W)]],Table1[[#This Row],[RX Pdc (W)]])/Table1[[#This Row],[Array Aperture Size (cm2)]],"N/A")</f>
        <v>#VALUE!</v>
      </c>
      <c r="W86" s="1">
        <f>IF(OR(ISNUMBER(Table1[[#This Row],[TX Pdc (W)]]), ISNUMBER(Table1[[#This Row],[RX Pdc (W)]])),MAX(Table1[[#This Row],[TX Pdc (W)]],Table1[[#This Row],[RX Pdc (W)]])/(Table1[[#This Row],['# of Array Tile]]*Table1[[#This Row],['# of IC per Tile]])/(Table1[[#This Row],[Chip Size (mm2)]]*0.01),"N/A")</f>
        <v>1.3333333333333331E-2</v>
      </c>
      <c r="X86" s="23"/>
      <c r="Y86" s="1">
        <v>1</v>
      </c>
      <c r="Z86" s="1" t="s">
        <v>223</v>
      </c>
      <c r="AA86" s="1">
        <v>32</v>
      </c>
      <c r="AB86" s="1">
        <v>4</v>
      </c>
      <c r="AC86" s="1" t="s">
        <v>310</v>
      </c>
      <c r="AD86" s="1">
        <v>8</v>
      </c>
      <c r="AE86" s="1">
        <v>1</v>
      </c>
      <c r="AF86" s="1" t="s">
        <v>27</v>
      </c>
      <c r="AG86" s="1" t="s">
        <v>27</v>
      </c>
      <c r="AH86" s="1" t="e">
        <f t="shared" si="26"/>
        <v>#VALUE!</v>
      </c>
      <c r="AI86" s="1" t="e">
        <f t="shared" si="27"/>
        <v>#VALUE!</v>
      </c>
      <c r="AJ86" s="1">
        <v>1.8</v>
      </c>
      <c r="AK86" s="1">
        <v>1</v>
      </c>
      <c r="AL86" s="1">
        <f>Table1[[#This Row],[Chip Size -X (mm)]]*Table1[[#This Row],[Chip Size - Y (mm)]]</f>
        <v>1.8</v>
      </c>
      <c r="AM86" s="1">
        <v>0.83</v>
      </c>
      <c r="AN86" s="1">
        <v>1.62</v>
      </c>
      <c r="AO86" s="1">
        <f t="shared" si="28"/>
        <v>0.29880000000000001</v>
      </c>
      <c r="AP86" s="2"/>
      <c r="AQ86" s="1"/>
      <c r="AR86" s="1"/>
      <c r="AS86" s="1"/>
      <c r="AT86" s="1"/>
      <c r="AU86" s="1"/>
      <c r="AV86" s="1">
        <v>0.03</v>
      </c>
      <c r="AW86" s="1">
        <v>0.03</v>
      </c>
      <c r="AX86" s="1"/>
    </row>
    <row r="87" spans="1:50" x14ac:dyDescent="0.2">
      <c r="A87" s="1" t="s">
        <v>49</v>
      </c>
      <c r="B87" s="1">
        <v>2022</v>
      </c>
      <c r="C87" s="1">
        <v>1</v>
      </c>
      <c r="D87" s="1" t="s">
        <v>108</v>
      </c>
      <c r="E87" s="29" t="s">
        <v>109</v>
      </c>
      <c r="F87" s="1" t="s">
        <v>63</v>
      </c>
      <c r="G87" s="1" t="s">
        <v>17</v>
      </c>
      <c r="H87" s="1">
        <v>180</v>
      </c>
      <c r="I87" s="1">
        <v>15</v>
      </c>
      <c r="J87" s="1">
        <f t="shared" si="30"/>
        <v>8</v>
      </c>
      <c r="K87" s="1">
        <v>1</v>
      </c>
      <c r="L87" s="1">
        <f t="shared" si="24"/>
        <v>0</v>
      </c>
      <c r="M87" s="1">
        <f t="shared" si="25"/>
        <v>8</v>
      </c>
      <c r="N87" s="1"/>
      <c r="O87" s="1">
        <v>1</v>
      </c>
      <c r="P87" s="1" t="s">
        <v>223</v>
      </c>
      <c r="Q87" s="1"/>
      <c r="R87" s="1" t="str">
        <f t="shared" si="29"/>
        <v/>
      </c>
      <c r="S87" s="25" t="str">
        <f t="shared" si="32"/>
        <v>N/A</v>
      </c>
      <c r="T87" s="1" t="str">
        <f t="shared" si="33"/>
        <v>N/A</v>
      </c>
      <c r="U87" s="1">
        <f t="shared" si="31"/>
        <v>1.9359999999999999</v>
      </c>
      <c r="V87" s="1">
        <f>IF(OR(ISNUMBER(Table1[[#This Row],[TX Pdc (W)]]), ISNUMBER(Table1[[#This Row],[RX Pdc (W)]])),MAX(Table1[[#This Row],[TX Pdc (W)]],Table1[[#This Row],[RX Pdc (W)]])/Table1[[#This Row],[Array Aperture Size (cm2)]],"N/A")</f>
        <v>0.86044444444444446</v>
      </c>
      <c r="W87" s="1">
        <f>IF(OR(ISNUMBER(Table1[[#This Row],[TX Pdc (W)]]), ISNUMBER(Table1[[#This Row],[RX Pdc (W)]])),MAX(Table1[[#This Row],[TX Pdc (W)]],Table1[[#This Row],[RX Pdc (W)]])/(Table1[[#This Row],['# of Array Tile]]*Table1[[#This Row],['# of IC per Tile]])/(Table1[[#This Row],[Chip Size (mm2)]]*0.01),"N/A")</f>
        <v>8.8583848089681965</v>
      </c>
      <c r="X87" s="23"/>
      <c r="Y87" s="1">
        <v>1</v>
      </c>
      <c r="Z87" s="1" t="s">
        <v>223</v>
      </c>
      <c r="AA87" s="1">
        <v>8</v>
      </c>
      <c r="AB87" s="1">
        <v>2</v>
      </c>
      <c r="AC87" s="1" t="s">
        <v>27</v>
      </c>
      <c r="AD87" s="1"/>
      <c r="AE87" s="1">
        <v>4</v>
      </c>
      <c r="AF87" s="1">
        <v>4.5</v>
      </c>
      <c r="AG87" s="1">
        <v>0.5</v>
      </c>
      <c r="AH87" s="1">
        <f t="shared" si="26"/>
        <v>2.25</v>
      </c>
      <c r="AI87" s="1">
        <f t="shared" si="27"/>
        <v>28.125</v>
      </c>
      <c r="AJ87" s="1">
        <v>4.6500000000000004</v>
      </c>
      <c r="AK87" s="1">
        <v>2.35</v>
      </c>
      <c r="AL87" s="1">
        <f>Table1[[#This Row],[Chip Size -X (mm)]]*Table1[[#This Row],[Chip Size - Y (mm)]]</f>
        <v>10.927500000000002</v>
      </c>
      <c r="AM87" s="1">
        <v>3.69</v>
      </c>
      <c r="AN87" s="1">
        <v>1.97</v>
      </c>
      <c r="AO87" s="1">
        <f t="shared" si="28"/>
        <v>3.6346499999999997</v>
      </c>
      <c r="AP87" s="2"/>
      <c r="AQ87" s="1"/>
      <c r="AR87" s="1"/>
      <c r="AS87" s="1"/>
      <c r="AT87" s="1">
        <v>4.7</v>
      </c>
      <c r="AU87" s="1">
        <v>25</v>
      </c>
      <c r="AV87" s="1"/>
      <c r="AW87" s="1">
        <v>242</v>
      </c>
      <c r="AX87" s="1"/>
    </row>
    <row r="88" spans="1:50" x14ac:dyDescent="0.2">
      <c r="A88" s="1" t="s">
        <v>49</v>
      </c>
      <c r="B88" s="1">
        <v>2022</v>
      </c>
      <c r="C88" s="1">
        <v>1</v>
      </c>
      <c r="D88" s="1" t="s">
        <v>108</v>
      </c>
      <c r="E88" s="29" t="s">
        <v>109</v>
      </c>
      <c r="F88" s="1" t="s">
        <v>63</v>
      </c>
      <c r="G88" s="1" t="s">
        <v>17</v>
      </c>
      <c r="H88" s="1">
        <v>180</v>
      </c>
      <c r="I88" s="1">
        <v>57</v>
      </c>
      <c r="J88" s="1">
        <f t="shared" si="30"/>
        <v>8</v>
      </c>
      <c r="K88" s="1">
        <v>1</v>
      </c>
      <c r="L88" s="1">
        <f t="shared" si="24"/>
        <v>0</v>
      </c>
      <c r="M88" s="1">
        <f t="shared" si="25"/>
        <v>8</v>
      </c>
      <c r="N88" s="1"/>
      <c r="O88" s="1">
        <v>1</v>
      </c>
      <c r="P88" s="1" t="s">
        <v>223</v>
      </c>
      <c r="Q88" s="1"/>
      <c r="R88" s="1" t="str">
        <f t="shared" si="29"/>
        <v/>
      </c>
      <c r="S88" s="25" t="str">
        <f t="shared" si="32"/>
        <v>N/A</v>
      </c>
      <c r="T88" s="1" t="str">
        <f t="shared" si="33"/>
        <v>N/A</v>
      </c>
      <c r="U88" s="1">
        <f t="shared" si="31"/>
        <v>1.44</v>
      </c>
      <c r="V88" s="1">
        <f>IF(OR(ISNUMBER(Table1[[#This Row],[TX Pdc (W)]]), ISNUMBER(Table1[[#This Row],[RX Pdc (W)]])),MAX(Table1[[#This Row],[TX Pdc (W)]],Table1[[#This Row],[RX Pdc (W)]])/Table1[[#This Row],[Array Aperture Size (cm2)]],"N/A")</f>
        <v>0.64</v>
      </c>
      <c r="W88" s="1">
        <f>IF(OR(ISNUMBER(Table1[[#This Row],[TX Pdc (W)]]), ISNUMBER(Table1[[#This Row],[RX Pdc (W)]])),MAX(Table1[[#This Row],[TX Pdc (W)]],Table1[[#This Row],[RX Pdc (W)]])/(Table1[[#This Row],['# of Array Tile]]*Table1[[#This Row],['# of IC per Tile]])/(Table1[[#This Row],[Chip Size (mm2)]]*0.01),"N/A")</f>
        <v>6.5888812628689069</v>
      </c>
      <c r="X88" s="23"/>
      <c r="Y88" s="1">
        <v>1</v>
      </c>
      <c r="Z88" s="1" t="s">
        <v>223</v>
      </c>
      <c r="AA88" s="1">
        <v>8</v>
      </c>
      <c r="AB88" s="1">
        <v>2</v>
      </c>
      <c r="AC88" s="1" t="s">
        <v>27</v>
      </c>
      <c r="AD88" s="1"/>
      <c r="AE88" s="1">
        <v>4</v>
      </c>
      <c r="AF88" s="1">
        <v>4.5</v>
      </c>
      <c r="AG88" s="1">
        <v>0.5</v>
      </c>
      <c r="AH88" s="1">
        <f t="shared" si="26"/>
        <v>2.25</v>
      </c>
      <c r="AI88" s="1">
        <f t="shared" si="27"/>
        <v>28.125</v>
      </c>
      <c r="AJ88" s="1">
        <v>4.6500000000000004</v>
      </c>
      <c r="AK88" s="1">
        <v>2.35</v>
      </c>
      <c r="AL88" s="1">
        <f>Table1[[#This Row],[Chip Size -X (mm)]]*Table1[[#This Row],[Chip Size - Y (mm)]]</f>
        <v>10.927500000000002</v>
      </c>
      <c r="AM88" s="1">
        <v>3.69</v>
      </c>
      <c r="AN88" s="1">
        <v>1.97</v>
      </c>
      <c r="AO88" s="1">
        <f t="shared" si="28"/>
        <v>3.6346499999999997</v>
      </c>
      <c r="AP88" s="2"/>
      <c r="AQ88" s="1"/>
      <c r="AR88" s="1"/>
      <c r="AS88" s="1"/>
      <c r="AT88" s="1"/>
      <c r="AU88" s="1"/>
      <c r="AV88" s="1"/>
      <c r="AW88" s="1">
        <v>180</v>
      </c>
      <c r="AX88" s="1"/>
    </row>
    <row r="89" spans="1:50" x14ac:dyDescent="0.2">
      <c r="A89" s="1" t="s">
        <v>68</v>
      </c>
      <c r="B89" s="1">
        <v>2022</v>
      </c>
      <c r="C89" s="1">
        <v>1</v>
      </c>
      <c r="D89" s="1" t="s">
        <v>113</v>
      </c>
      <c r="E89" s="29" t="s">
        <v>112</v>
      </c>
      <c r="F89" s="1" t="s">
        <v>41</v>
      </c>
      <c r="G89" s="1" t="s">
        <v>20</v>
      </c>
      <c r="H89" s="1">
        <v>65</v>
      </c>
      <c r="I89" s="1">
        <v>28</v>
      </c>
      <c r="J89" s="1">
        <f t="shared" si="30"/>
        <v>8</v>
      </c>
      <c r="K89" s="1">
        <v>2</v>
      </c>
      <c r="L89" s="1">
        <f t="shared" si="24"/>
        <v>8</v>
      </c>
      <c r="M89" s="1">
        <f t="shared" si="25"/>
        <v>0</v>
      </c>
      <c r="N89" s="1">
        <v>1</v>
      </c>
      <c r="O89" s="1"/>
      <c r="P89" s="1" t="s">
        <v>223</v>
      </c>
      <c r="Q89" s="1"/>
      <c r="R89" s="1" t="str">
        <f t="shared" si="29"/>
        <v/>
      </c>
      <c r="S89" s="25" t="str">
        <f t="shared" si="32"/>
        <v>N/A</v>
      </c>
      <c r="T89" s="1" t="str">
        <f t="shared" si="33"/>
        <v>N/A</v>
      </c>
      <c r="U89" s="1" t="str">
        <f t="shared" si="31"/>
        <v>N/A</v>
      </c>
      <c r="V89" s="1" t="str">
        <f>IF(OR(ISNUMBER(Table1[[#This Row],[TX Pdc (W)]]), ISNUMBER(Table1[[#This Row],[RX Pdc (W)]])),MAX(Table1[[#This Row],[TX Pdc (W)]],Table1[[#This Row],[RX Pdc (W)]])/Table1[[#This Row],[Array Aperture Size (cm2)]],"N/A")</f>
        <v>N/A</v>
      </c>
      <c r="W89" s="1" t="str">
        <f>IF(OR(ISNUMBER(Table1[[#This Row],[TX Pdc (W)]]), ISNUMBER(Table1[[#This Row],[RX Pdc (W)]])),MAX(Table1[[#This Row],[TX Pdc (W)]],Table1[[#This Row],[RX Pdc (W)]])/(Table1[[#This Row],['# of Array Tile]]*Table1[[#This Row],['# of IC per Tile]])/(Table1[[#This Row],[Chip Size (mm2)]]*0.01),"N/A")</f>
        <v>N/A</v>
      </c>
      <c r="X89" s="23"/>
      <c r="Y89" s="1">
        <v>1</v>
      </c>
      <c r="Z89" s="1" t="s">
        <v>223</v>
      </c>
      <c r="AA89" s="1">
        <v>8</v>
      </c>
      <c r="AB89" s="1">
        <v>1</v>
      </c>
      <c r="AC89" s="1" t="s">
        <v>27</v>
      </c>
      <c r="AD89" s="1">
        <v>8</v>
      </c>
      <c r="AE89" s="1"/>
      <c r="AF89" s="1">
        <v>2.56</v>
      </c>
      <c r="AG89" s="1">
        <v>1.28</v>
      </c>
      <c r="AH89" s="1">
        <f t="shared" si="26"/>
        <v>3.2768000000000002</v>
      </c>
      <c r="AI89" s="1">
        <f t="shared" si="27"/>
        <v>40.96</v>
      </c>
      <c r="AJ89" s="1">
        <v>2.1</v>
      </c>
      <c r="AK89" s="1">
        <v>2.1</v>
      </c>
      <c r="AL89" s="1">
        <f>Table1[[#This Row],[Chip Size -X (mm)]]*Table1[[#This Row],[Chip Size - Y (mm)]]</f>
        <v>4.41</v>
      </c>
      <c r="AM89" s="1">
        <v>2.1</v>
      </c>
      <c r="AN89" s="1">
        <v>2.1</v>
      </c>
      <c r="AO89" s="1">
        <f t="shared" si="28"/>
        <v>1.1025</v>
      </c>
      <c r="AP89" s="2"/>
      <c r="AQ89" s="1"/>
      <c r="AR89" s="1"/>
      <c r="AS89" s="1"/>
      <c r="AT89" s="1"/>
      <c r="AU89" s="1"/>
      <c r="AV89" s="1"/>
      <c r="AW89" s="1"/>
      <c r="AX89" s="1"/>
    </row>
    <row r="90" spans="1:50" x14ac:dyDescent="0.2">
      <c r="A90" s="1" t="s">
        <v>14</v>
      </c>
      <c r="B90" s="1">
        <v>2022</v>
      </c>
      <c r="C90" s="1">
        <v>2</v>
      </c>
      <c r="D90" s="1" t="s">
        <v>160</v>
      </c>
      <c r="E90" s="29" t="s">
        <v>159</v>
      </c>
      <c r="F90" s="1" t="s">
        <v>35</v>
      </c>
      <c r="G90" s="1" t="s">
        <v>20</v>
      </c>
      <c r="H90" s="1">
        <v>65</v>
      </c>
      <c r="I90" s="1">
        <v>140</v>
      </c>
      <c r="J90" s="1">
        <f t="shared" si="30"/>
        <v>2</v>
      </c>
      <c r="K90" s="1" t="s">
        <v>27</v>
      </c>
      <c r="L90" s="1">
        <f t="shared" si="24"/>
        <v>1</v>
      </c>
      <c r="M90" s="1">
        <f t="shared" si="25"/>
        <v>1</v>
      </c>
      <c r="N90" s="1">
        <v>1</v>
      </c>
      <c r="O90" s="1">
        <v>1</v>
      </c>
      <c r="P90" s="1" t="s">
        <v>218</v>
      </c>
      <c r="Q90" s="1">
        <v>25.2</v>
      </c>
      <c r="R90" s="1">
        <f t="shared" si="29"/>
        <v>1</v>
      </c>
      <c r="S90" s="25">
        <f t="shared" si="32"/>
        <v>11.2</v>
      </c>
      <c r="T90" s="1">
        <f t="shared" si="33"/>
        <v>0.45</v>
      </c>
      <c r="U90" s="1">
        <f t="shared" si="31"/>
        <v>0</v>
      </c>
      <c r="V90" s="1" t="e">
        <f>IF(OR(ISNUMBER(Table1[[#This Row],[TX Pdc (W)]]), ISNUMBER(Table1[[#This Row],[RX Pdc (W)]])),MAX(Table1[[#This Row],[TX Pdc (W)]],Table1[[#This Row],[RX Pdc (W)]])/Table1[[#This Row],[Array Aperture Size (cm2)]],"N/A")</f>
        <v>#VALUE!</v>
      </c>
      <c r="W90" s="1">
        <f>IF(OR(ISNUMBER(Table1[[#This Row],[TX Pdc (W)]]), ISNUMBER(Table1[[#This Row],[RX Pdc (W)]])),MAX(Table1[[#This Row],[TX Pdc (W)]],Table1[[#This Row],[RX Pdc (W)]])/(Table1[[#This Row],['# of Array Tile]]*Table1[[#This Row],['# of IC per Tile]])/(Table1[[#This Row],[Chip Size (mm2)]]*0.01),"N/A")</f>
        <v>14.423076923076923</v>
      </c>
      <c r="X90" s="23"/>
      <c r="Y90" s="1">
        <v>1</v>
      </c>
      <c r="Z90" s="1" t="s">
        <v>230</v>
      </c>
      <c r="AA90" s="1">
        <v>1</v>
      </c>
      <c r="AB90" s="1">
        <v>1</v>
      </c>
      <c r="AC90" s="1" t="s">
        <v>309</v>
      </c>
      <c r="AD90" s="1">
        <v>1</v>
      </c>
      <c r="AE90" s="1">
        <v>1</v>
      </c>
      <c r="AF90" s="1" t="s">
        <v>27</v>
      </c>
      <c r="AG90" s="1" t="s">
        <v>27</v>
      </c>
      <c r="AH90" s="1" t="e">
        <f t="shared" si="26"/>
        <v>#VALUE!</v>
      </c>
      <c r="AI90" s="1" t="e">
        <f t="shared" si="27"/>
        <v>#VALUE!</v>
      </c>
      <c r="AJ90" s="1">
        <v>2.6</v>
      </c>
      <c r="AK90" s="1">
        <v>1.2</v>
      </c>
      <c r="AL90" s="1">
        <f>Table1[[#This Row],[Chip Size -X (mm)]]*Table1[[#This Row],[Chip Size - Y (mm)]]</f>
        <v>3.12</v>
      </c>
      <c r="AM90" s="1">
        <v>2.46</v>
      </c>
      <c r="AN90" s="1">
        <v>1.02</v>
      </c>
      <c r="AO90" s="1">
        <f t="shared" si="28"/>
        <v>2.5091999999999999</v>
      </c>
      <c r="AP90" s="2"/>
      <c r="AQ90" s="1">
        <v>11.2</v>
      </c>
      <c r="AR90" s="1"/>
      <c r="AS90" s="1"/>
      <c r="AT90" s="1">
        <v>12.9</v>
      </c>
      <c r="AU90" s="1"/>
      <c r="AV90" s="1">
        <v>450</v>
      </c>
      <c r="AW90" s="1">
        <v>0</v>
      </c>
      <c r="AX90" s="1"/>
    </row>
    <row r="91" spans="1:50" x14ac:dyDescent="0.2">
      <c r="A91" s="1" t="s">
        <v>14</v>
      </c>
      <c r="B91" s="1">
        <v>2022</v>
      </c>
      <c r="C91" s="1">
        <v>2</v>
      </c>
      <c r="D91" s="1" t="s">
        <v>264</v>
      </c>
      <c r="E91" s="29" t="s">
        <v>263</v>
      </c>
      <c r="F91" s="1" t="s">
        <v>35</v>
      </c>
      <c r="G91" s="1" t="s">
        <v>51</v>
      </c>
      <c r="H91" s="1">
        <v>28</v>
      </c>
      <c r="I91" s="1">
        <v>28</v>
      </c>
      <c r="J91" s="1">
        <f t="shared" si="30"/>
        <v>32</v>
      </c>
      <c r="K91" s="1">
        <v>2</v>
      </c>
      <c r="L91" s="1">
        <f t="shared" si="24"/>
        <v>16</v>
      </c>
      <c r="M91" s="1">
        <f t="shared" si="25"/>
        <v>16</v>
      </c>
      <c r="N91" s="1">
        <v>2</v>
      </c>
      <c r="O91" s="1">
        <v>2</v>
      </c>
      <c r="P91" s="1" t="s">
        <v>222</v>
      </c>
      <c r="Q91" s="1"/>
      <c r="R91" s="1" t="str">
        <f t="shared" si="29"/>
        <v/>
      </c>
      <c r="S91" s="25">
        <f t="shared" si="32"/>
        <v>25.54119982655925</v>
      </c>
      <c r="T91" s="1">
        <f t="shared" si="33"/>
        <v>4.24</v>
      </c>
      <c r="U91" s="1">
        <f t="shared" si="31"/>
        <v>0.67200000000000004</v>
      </c>
      <c r="V91" s="1" t="e">
        <f>IF(OR(ISNUMBER(Table1[[#This Row],[TX Pdc (W)]]), ISNUMBER(Table1[[#This Row],[RX Pdc (W)]])),MAX(Table1[[#This Row],[TX Pdc (W)]],Table1[[#This Row],[RX Pdc (W)]])/Table1[[#This Row],[Array Aperture Size (cm2)]],"N/A")</f>
        <v>#VALUE!</v>
      </c>
      <c r="W91" s="1">
        <f>IF(OR(ISNUMBER(Table1[[#This Row],[TX Pdc (W)]]), ISNUMBER(Table1[[#This Row],[RX Pdc (W)]])),MAX(Table1[[#This Row],[TX Pdc (W)]],Table1[[#This Row],[RX Pdc (W)]])/(Table1[[#This Row],['# of Array Tile]]*Table1[[#This Row],['# of IC per Tile]])/(Table1[[#This Row],[Chip Size (mm2)]]*0.01),"N/A")</f>
        <v>16.903340004305569</v>
      </c>
      <c r="X91" s="23"/>
      <c r="Y91" s="1">
        <v>1</v>
      </c>
      <c r="Z91" s="1" t="s">
        <v>27</v>
      </c>
      <c r="AA91" s="1" t="s">
        <v>27</v>
      </c>
      <c r="AB91" s="1">
        <v>1</v>
      </c>
      <c r="AC91" s="1" t="s">
        <v>309</v>
      </c>
      <c r="AD91" s="1">
        <v>16</v>
      </c>
      <c r="AE91" s="1">
        <v>16</v>
      </c>
      <c r="AF91" s="1" t="s">
        <v>27</v>
      </c>
      <c r="AG91" s="1" t="s">
        <v>27</v>
      </c>
      <c r="AH91" s="1" t="e">
        <f t="shared" si="26"/>
        <v>#VALUE!</v>
      </c>
      <c r="AI91" s="1" t="e">
        <f t="shared" si="27"/>
        <v>#VALUE!</v>
      </c>
      <c r="AJ91" s="1">
        <v>8.74</v>
      </c>
      <c r="AK91" s="1">
        <v>2.87</v>
      </c>
      <c r="AL91" s="1">
        <f>Table1[[#This Row],[Chip Size -X (mm)]]*Table1[[#This Row],[Chip Size - Y (mm)]]</f>
        <v>25.0838</v>
      </c>
      <c r="AM91" s="1">
        <v>8.74</v>
      </c>
      <c r="AN91" s="1">
        <f>0.82*2</f>
        <v>1.64</v>
      </c>
      <c r="AO91" s="1">
        <f t="shared" si="28"/>
        <v>0.89584999999999992</v>
      </c>
      <c r="AP91" s="2"/>
      <c r="AQ91" s="1">
        <v>13.5</v>
      </c>
      <c r="AR91" s="1"/>
      <c r="AS91" s="1"/>
      <c r="AT91" s="1">
        <v>4.3</v>
      </c>
      <c r="AU91" s="1"/>
      <c r="AV91" s="1">
        <v>265</v>
      </c>
      <c r="AW91" s="1">
        <v>42</v>
      </c>
      <c r="AX91" s="1" t="s">
        <v>265</v>
      </c>
    </row>
    <row r="92" spans="1:50" x14ac:dyDescent="0.2">
      <c r="A92" s="1" t="s">
        <v>14</v>
      </c>
      <c r="B92" s="1">
        <v>2022</v>
      </c>
      <c r="C92" s="1">
        <v>2</v>
      </c>
      <c r="D92" s="1" t="s">
        <v>264</v>
      </c>
      <c r="E92" s="29" t="s">
        <v>263</v>
      </c>
      <c r="F92" s="1" t="s">
        <v>35</v>
      </c>
      <c r="G92" s="1" t="s">
        <v>51</v>
      </c>
      <c r="H92" s="1">
        <v>28</v>
      </c>
      <c r="I92" s="1">
        <v>39</v>
      </c>
      <c r="J92" s="1">
        <f t="shared" si="30"/>
        <v>32</v>
      </c>
      <c r="K92" s="1">
        <v>2</v>
      </c>
      <c r="L92" s="1">
        <f t="shared" si="24"/>
        <v>16</v>
      </c>
      <c r="M92" s="1">
        <f t="shared" si="25"/>
        <v>16</v>
      </c>
      <c r="N92" s="1">
        <v>2</v>
      </c>
      <c r="O92" s="1">
        <v>2</v>
      </c>
      <c r="P92" s="1" t="s">
        <v>222</v>
      </c>
      <c r="Q92" s="1"/>
      <c r="R92" s="1" t="str">
        <f t="shared" si="29"/>
        <v/>
      </c>
      <c r="S92" s="25">
        <f t="shared" si="32"/>
        <v>24.041199826559247</v>
      </c>
      <c r="T92" s="1">
        <f t="shared" si="33"/>
        <v>4.4000000000000004</v>
      </c>
      <c r="U92" s="1">
        <f t="shared" si="31"/>
        <v>0.81599999999999995</v>
      </c>
      <c r="V92" s="1" t="e">
        <f>IF(OR(ISNUMBER(Table1[[#This Row],[TX Pdc (W)]]), ISNUMBER(Table1[[#This Row],[RX Pdc (W)]])),MAX(Table1[[#This Row],[TX Pdc (W)]],Table1[[#This Row],[RX Pdc (W)]])/Table1[[#This Row],[Array Aperture Size (cm2)]],"N/A")</f>
        <v>#VALUE!</v>
      </c>
      <c r="W92" s="1">
        <f>IF(OR(ISNUMBER(Table1[[#This Row],[TX Pdc (W)]]), ISNUMBER(Table1[[#This Row],[RX Pdc (W)]])),MAX(Table1[[#This Row],[TX Pdc (W)]],Table1[[#This Row],[RX Pdc (W)]])/(Table1[[#This Row],['# of Array Tile]]*Table1[[#This Row],['# of IC per Tile]])/(Table1[[#This Row],[Chip Size (mm2)]]*0.01),"N/A")</f>
        <v>17.541201891260496</v>
      </c>
      <c r="X92" s="23"/>
      <c r="Y92" s="1">
        <v>1</v>
      </c>
      <c r="Z92" s="1" t="s">
        <v>27</v>
      </c>
      <c r="AA92" s="1" t="s">
        <v>27</v>
      </c>
      <c r="AB92" s="1">
        <v>1</v>
      </c>
      <c r="AC92" s="1" t="s">
        <v>309</v>
      </c>
      <c r="AD92" s="1">
        <v>16</v>
      </c>
      <c r="AE92" s="1">
        <v>16</v>
      </c>
      <c r="AF92" s="1" t="s">
        <v>27</v>
      </c>
      <c r="AG92" s="1" t="s">
        <v>27</v>
      </c>
      <c r="AH92" s="1" t="e">
        <f t="shared" si="26"/>
        <v>#VALUE!</v>
      </c>
      <c r="AI92" s="1" t="e">
        <f t="shared" si="27"/>
        <v>#VALUE!</v>
      </c>
      <c r="AJ92" s="1">
        <v>8.74</v>
      </c>
      <c r="AK92" s="1">
        <v>2.87</v>
      </c>
      <c r="AL92" s="1">
        <f>Table1[[#This Row],[Chip Size -X (mm)]]*Table1[[#This Row],[Chip Size - Y (mm)]]</f>
        <v>25.0838</v>
      </c>
      <c r="AM92" s="1">
        <v>8.74</v>
      </c>
      <c r="AN92" s="1">
        <f>0.82*2</f>
        <v>1.64</v>
      </c>
      <c r="AO92" s="1">
        <f t="shared" si="28"/>
        <v>0.89584999999999992</v>
      </c>
      <c r="AP92" s="2"/>
      <c r="AQ92" s="1">
        <v>12</v>
      </c>
      <c r="AR92" s="1"/>
      <c r="AS92" s="1"/>
      <c r="AT92" s="1">
        <v>5.3</v>
      </c>
      <c r="AU92" s="1"/>
      <c r="AV92" s="1">
        <v>275</v>
      </c>
      <c r="AW92" s="1">
        <v>51</v>
      </c>
      <c r="AX92" s="1" t="s">
        <v>265</v>
      </c>
    </row>
    <row r="93" spans="1:50" x14ac:dyDescent="0.2">
      <c r="A93" s="1" t="s">
        <v>14</v>
      </c>
      <c r="B93" s="1">
        <v>2022</v>
      </c>
      <c r="C93" s="1">
        <v>2</v>
      </c>
      <c r="D93" s="1" t="s">
        <v>131</v>
      </c>
      <c r="E93" s="29" t="s">
        <v>161</v>
      </c>
      <c r="F93" s="1" t="s">
        <v>33</v>
      </c>
      <c r="G93" s="1" t="s">
        <v>20</v>
      </c>
      <c r="H93" s="1">
        <v>40</v>
      </c>
      <c r="I93" s="1">
        <v>26</v>
      </c>
      <c r="J93" s="1">
        <f t="shared" si="30"/>
        <v>4</v>
      </c>
      <c r="K93" s="1">
        <v>2</v>
      </c>
      <c r="L93" s="1">
        <f t="shared" si="24"/>
        <v>0</v>
      </c>
      <c r="M93" s="1">
        <f t="shared" si="25"/>
        <v>4</v>
      </c>
      <c r="N93" s="1"/>
      <c r="O93" s="1">
        <v>1</v>
      </c>
      <c r="P93" s="1" t="s">
        <v>222</v>
      </c>
      <c r="Q93" s="1"/>
      <c r="R93" s="1" t="str">
        <f t="shared" si="29"/>
        <v/>
      </c>
      <c r="S93" s="25" t="str">
        <f t="shared" si="32"/>
        <v>N/A</v>
      </c>
      <c r="T93" s="1" t="str">
        <f t="shared" si="33"/>
        <v>N/A</v>
      </c>
      <c r="U93" s="1">
        <f t="shared" si="31"/>
        <v>0.22440000000000002</v>
      </c>
      <c r="V93" s="1" t="e">
        <f>IF(OR(ISNUMBER(Table1[[#This Row],[TX Pdc (W)]]), ISNUMBER(Table1[[#This Row],[RX Pdc (W)]])),MAX(Table1[[#This Row],[TX Pdc (W)]],Table1[[#This Row],[RX Pdc (W)]])/Table1[[#This Row],[Array Aperture Size (cm2)]],"N/A")</f>
        <v>#VALUE!</v>
      </c>
      <c r="W93" s="1">
        <f>IF(OR(ISNUMBER(Table1[[#This Row],[TX Pdc (W)]]), ISNUMBER(Table1[[#This Row],[RX Pdc (W)]])),MAX(Table1[[#This Row],[TX Pdc (W)]],Table1[[#This Row],[RX Pdc (W)]])/(Table1[[#This Row],['# of Array Tile]]*Table1[[#This Row],['# of IC per Tile]])/(Table1[[#This Row],[Chip Size (mm2)]]*0.01),"N/A")</f>
        <v>8.0534022394487508</v>
      </c>
      <c r="X93" s="23"/>
      <c r="Y93" s="1">
        <v>1</v>
      </c>
      <c r="Z93" s="1" t="s">
        <v>27</v>
      </c>
      <c r="AA93" s="1" t="s">
        <v>27</v>
      </c>
      <c r="AB93" s="1">
        <v>1</v>
      </c>
      <c r="AC93" s="1" t="s">
        <v>27</v>
      </c>
      <c r="AD93" s="1"/>
      <c r="AE93" s="1">
        <v>4</v>
      </c>
      <c r="AF93" s="1" t="s">
        <v>27</v>
      </c>
      <c r="AG93" s="1" t="s">
        <v>27</v>
      </c>
      <c r="AH93" s="1" t="e">
        <f t="shared" si="26"/>
        <v>#VALUE!</v>
      </c>
      <c r="AI93" s="1" t="e">
        <f t="shared" si="27"/>
        <v>#VALUE!</v>
      </c>
      <c r="AJ93" s="1">
        <v>2.16</v>
      </c>
      <c r="AK93" s="1">
        <v>1.29</v>
      </c>
      <c r="AL93" s="1">
        <f>Table1[[#This Row],[Chip Size -X (mm)]]*Table1[[#This Row],[Chip Size - Y (mm)]]</f>
        <v>2.7864000000000004</v>
      </c>
      <c r="AM93" s="1">
        <v>1.89</v>
      </c>
      <c r="AN93" s="1">
        <v>1.02</v>
      </c>
      <c r="AO93" s="1">
        <f t="shared" si="28"/>
        <v>0.96389999999999998</v>
      </c>
      <c r="AP93" s="2"/>
      <c r="AQ93" s="1"/>
      <c r="AR93" s="1"/>
      <c r="AS93" s="1"/>
      <c r="AT93" s="1">
        <v>4.8</v>
      </c>
      <c r="AU93" s="1">
        <v>30</v>
      </c>
      <c r="AV93" s="1"/>
      <c r="AW93" s="1">
        <v>56.1</v>
      </c>
      <c r="AX93" s="1"/>
    </row>
    <row r="94" spans="1:50" x14ac:dyDescent="0.2">
      <c r="A94" s="1" t="s">
        <v>14</v>
      </c>
      <c r="B94" s="1">
        <v>2022</v>
      </c>
      <c r="C94" s="1">
        <v>2</v>
      </c>
      <c r="D94" s="1" t="s">
        <v>169</v>
      </c>
      <c r="E94" s="29" t="s">
        <v>168</v>
      </c>
      <c r="F94" s="1" t="s">
        <v>33</v>
      </c>
      <c r="G94" s="1" t="s">
        <v>20</v>
      </c>
      <c r="H94" s="1">
        <v>65</v>
      </c>
      <c r="I94" s="1">
        <v>29</v>
      </c>
      <c r="J94" s="1">
        <f t="shared" si="30"/>
        <v>256</v>
      </c>
      <c r="K94" s="1">
        <v>2</v>
      </c>
      <c r="L94" s="1">
        <f t="shared" si="24"/>
        <v>0</v>
      </c>
      <c r="M94" s="1">
        <f t="shared" si="25"/>
        <v>256</v>
      </c>
      <c r="N94" s="1"/>
      <c r="O94" s="1">
        <v>1</v>
      </c>
      <c r="P94" s="1" t="s">
        <v>223</v>
      </c>
      <c r="Q94" s="1"/>
      <c r="R94" s="1" t="str">
        <f t="shared" si="29"/>
        <v/>
      </c>
      <c r="S94" s="25" t="str">
        <f t="shared" si="32"/>
        <v>N/A</v>
      </c>
      <c r="T94" s="1" t="str">
        <f t="shared" si="33"/>
        <v>N/A</v>
      </c>
      <c r="U94" s="1">
        <f t="shared" si="31"/>
        <v>0.87039999999999995</v>
      </c>
      <c r="V94" s="1" t="e">
        <f>IF(OR(ISNUMBER(Table1[[#This Row],[TX Pdc (W)]]), ISNUMBER(Table1[[#This Row],[RX Pdc (W)]])),MAX(Table1[[#This Row],[TX Pdc (W)]],Table1[[#This Row],[RX Pdc (W)]])/Table1[[#This Row],[Array Aperture Size (cm2)]],"N/A")</f>
        <v>#VALUE!</v>
      </c>
      <c r="W94" s="1">
        <f>IF(OR(ISNUMBER(Table1[[#This Row],[TX Pdc (W)]]), ISNUMBER(Table1[[#This Row],[RX Pdc (W)]])),MAX(Table1[[#This Row],[TX Pdc (W)]],Table1[[#This Row],[RX Pdc (W)]])/(Table1[[#This Row],['# of Array Tile]]*Table1[[#This Row],['# of IC per Tile]])/(Table1[[#This Row],[Chip Size (mm2)]]*0.01),"N/A")</f>
        <v>0.45333333333333331</v>
      </c>
      <c r="X94" s="23"/>
      <c r="Y94" s="1">
        <v>4</v>
      </c>
      <c r="Z94" s="1" t="s">
        <v>223</v>
      </c>
      <c r="AA94" s="1">
        <v>64</v>
      </c>
      <c r="AB94" s="1">
        <v>8</v>
      </c>
      <c r="AC94" s="1" t="s">
        <v>27</v>
      </c>
      <c r="AD94" s="1"/>
      <c r="AE94" s="1">
        <v>8</v>
      </c>
      <c r="AF94" s="1" t="s">
        <v>27</v>
      </c>
      <c r="AG94" s="1" t="s">
        <v>27</v>
      </c>
      <c r="AH94" s="1" t="e">
        <f t="shared" si="26"/>
        <v>#VALUE!</v>
      </c>
      <c r="AI94" s="1" t="e">
        <f t="shared" si="27"/>
        <v>#VALUE!</v>
      </c>
      <c r="AJ94" s="1">
        <v>4</v>
      </c>
      <c r="AK94" s="1">
        <v>1.5</v>
      </c>
      <c r="AL94" s="1">
        <f>Table1[[#This Row],[Chip Size -X (mm)]]*Table1[[#This Row],[Chip Size - Y (mm)]]</f>
        <v>6</v>
      </c>
      <c r="AM94" s="1">
        <v>3.58</v>
      </c>
      <c r="AN94" s="1">
        <v>1.3</v>
      </c>
      <c r="AO94" s="1">
        <f t="shared" si="28"/>
        <v>1.1635</v>
      </c>
      <c r="AP94" s="2"/>
      <c r="AQ94" s="1"/>
      <c r="AR94" s="1"/>
      <c r="AS94" s="1"/>
      <c r="AT94" s="1">
        <v>3.8</v>
      </c>
      <c r="AU94" s="1">
        <v>23</v>
      </c>
      <c r="AV94" s="1"/>
      <c r="AW94" s="1">
        <v>3.4</v>
      </c>
      <c r="AX94" s="1"/>
    </row>
    <row r="95" spans="1:50" x14ac:dyDescent="0.2">
      <c r="A95" s="1" t="s">
        <v>14</v>
      </c>
      <c r="B95" s="1">
        <v>2022</v>
      </c>
      <c r="C95" s="1">
        <v>2</v>
      </c>
      <c r="D95" s="1" t="s">
        <v>167</v>
      </c>
      <c r="E95" s="29" t="s">
        <v>166</v>
      </c>
      <c r="F95" s="1" t="s">
        <v>33</v>
      </c>
      <c r="G95" s="1" t="s">
        <v>20</v>
      </c>
      <c r="H95" s="1">
        <v>28</v>
      </c>
      <c r="I95" s="1">
        <v>300</v>
      </c>
      <c r="J95" s="1">
        <f t="shared" si="30"/>
        <v>1</v>
      </c>
      <c r="K95" s="1" t="s">
        <v>27</v>
      </c>
      <c r="L95" s="1">
        <f t="shared" si="24"/>
        <v>0</v>
      </c>
      <c r="M95" s="1">
        <f t="shared" si="25"/>
        <v>1</v>
      </c>
      <c r="N95" s="1"/>
      <c r="O95" s="1">
        <v>1</v>
      </c>
      <c r="P95" s="1" t="s">
        <v>222</v>
      </c>
      <c r="Q95" s="1"/>
      <c r="R95" s="1" t="str">
        <f t="shared" si="29"/>
        <v/>
      </c>
      <c r="S95" s="25" t="str">
        <f t="shared" si="32"/>
        <v>N/A</v>
      </c>
      <c r="T95" s="1" t="str">
        <f t="shared" si="33"/>
        <v>N/A</v>
      </c>
      <c r="U95" s="1">
        <f t="shared" si="31"/>
        <v>5.1999999999999998E-2</v>
      </c>
      <c r="V95" s="1" t="e">
        <f>IF(OR(ISNUMBER(Table1[[#This Row],[TX Pdc (W)]]), ISNUMBER(Table1[[#This Row],[RX Pdc (W)]])),MAX(Table1[[#This Row],[TX Pdc (W)]],Table1[[#This Row],[RX Pdc (W)]])/Table1[[#This Row],[Array Aperture Size (cm2)]],"N/A")</f>
        <v>#VALUE!</v>
      </c>
      <c r="W95" s="1">
        <f>IF(OR(ISNUMBER(Table1[[#This Row],[TX Pdc (W)]]), ISNUMBER(Table1[[#This Row],[RX Pdc (W)]])),MAX(Table1[[#This Row],[TX Pdc (W)]],Table1[[#This Row],[RX Pdc (W)]])/(Table1[[#This Row],['# of Array Tile]]*Table1[[#This Row],['# of IC per Tile]])/(Table1[[#This Row],[Chip Size (mm2)]]*0.01),"N/A")</f>
        <v>86.666666666666671</v>
      </c>
      <c r="X95" s="23"/>
      <c r="Y95" s="1">
        <v>1</v>
      </c>
      <c r="Z95" s="1" t="s">
        <v>27</v>
      </c>
      <c r="AA95" s="1" t="s">
        <v>27</v>
      </c>
      <c r="AB95" s="1">
        <v>1</v>
      </c>
      <c r="AC95" s="1" t="s">
        <v>27</v>
      </c>
      <c r="AD95" s="1"/>
      <c r="AE95" s="1">
        <v>1</v>
      </c>
      <c r="AF95" s="1" t="s">
        <v>27</v>
      </c>
      <c r="AG95" s="1" t="s">
        <v>27</v>
      </c>
      <c r="AH95" s="1" t="e">
        <f t="shared" si="26"/>
        <v>#VALUE!</v>
      </c>
      <c r="AI95" s="1" t="e">
        <f t="shared" si="27"/>
        <v>#VALUE!</v>
      </c>
      <c r="AJ95" s="1">
        <v>0.2</v>
      </c>
      <c r="AK95" s="1">
        <v>0.3</v>
      </c>
      <c r="AL95" s="1">
        <f>Table1[[#This Row],[Chip Size -X (mm)]]*Table1[[#This Row],[Chip Size - Y (mm)]]</f>
        <v>0.06</v>
      </c>
      <c r="AM95" s="1">
        <v>0.2</v>
      </c>
      <c r="AN95" s="1">
        <v>0.3</v>
      </c>
      <c r="AO95" s="1">
        <f t="shared" si="28"/>
        <v>0.12</v>
      </c>
      <c r="AP95" s="2"/>
      <c r="AQ95" s="1"/>
      <c r="AR95" s="1"/>
      <c r="AS95" s="1"/>
      <c r="AT95" s="1">
        <v>20</v>
      </c>
      <c r="AU95" s="1">
        <v>18</v>
      </c>
      <c r="AV95" s="1"/>
      <c r="AW95" s="1">
        <v>52</v>
      </c>
      <c r="AX95" s="1"/>
    </row>
    <row r="96" spans="1:50" x14ac:dyDescent="0.2">
      <c r="A96" s="1" t="s">
        <v>14</v>
      </c>
      <c r="B96" s="1">
        <v>2022</v>
      </c>
      <c r="C96" s="1">
        <v>2</v>
      </c>
      <c r="D96" s="1" t="s">
        <v>165</v>
      </c>
      <c r="E96" s="29" t="s">
        <v>164</v>
      </c>
      <c r="F96" s="1" t="s">
        <v>26</v>
      </c>
      <c r="G96" s="1" t="s">
        <v>20</v>
      </c>
      <c r="H96" s="1">
        <v>65</v>
      </c>
      <c r="I96" s="1">
        <v>431</v>
      </c>
      <c r="J96" s="1">
        <f t="shared" si="30"/>
        <v>6</v>
      </c>
      <c r="K96" s="1">
        <v>1</v>
      </c>
      <c r="L96" s="1">
        <f t="shared" si="24"/>
        <v>3</v>
      </c>
      <c r="M96" s="1">
        <f t="shared" si="25"/>
        <v>3</v>
      </c>
      <c r="N96" s="1">
        <v>1</v>
      </c>
      <c r="O96" s="1">
        <v>1</v>
      </c>
      <c r="P96" s="1" t="s">
        <v>218</v>
      </c>
      <c r="Q96" s="1">
        <v>-13.5</v>
      </c>
      <c r="R96" s="1">
        <v>1</v>
      </c>
      <c r="S96" s="25" t="str">
        <f t="shared" si="32"/>
        <v>N/A</v>
      </c>
      <c r="T96" s="1">
        <f t="shared" si="33"/>
        <v>8.5800000000000015E-2</v>
      </c>
      <c r="U96" s="1">
        <f t="shared" si="31"/>
        <v>0</v>
      </c>
      <c r="V96" s="1" t="e">
        <f>IF(OR(ISNUMBER(Table1[[#This Row],[TX Pdc (W)]]), ISNUMBER(Table1[[#This Row],[RX Pdc (W)]])),MAX(Table1[[#This Row],[TX Pdc (W)]],Table1[[#This Row],[RX Pdc (W)]])/Table1[[#This Row],[Array Aperture Size (cm2)]],"N/A")</f>
        <v>#VALUE!</v>
      </c>
      <c r="W96" s="1">
        <f>IF(OR(ISNUMBER(Table1[[#This Row],[TX Pdc (W)]]), ISNUMBER(Table1[[#This Row],[RX Pdc (W)]])),MAX(Table1[[#This Row],[TX Pdc (W)]],Table1[[#This Row],[RX Pdc (W)]])/(Table1[[#This Row],['# of Array Tile]]*Table1[[#This Row],['# of IC per Tile]])/(Table1[[#This Row],[Chip Size (mm2)]]*0.01),"N/A")</f>
        <v>5.5512422360248452</v>
      </c>
      <c r="X96" s="23"/>
      <c r="Y96" s="1">
        <v>1</v>
      </c>
      <c r="Z96" s="1" t="s">
        <v>218</v>
      </c>
      <c r="AA96" s="1">
        <v>3</v>
      </c>
      <c r="AB96" s="1">
        <v>1</v>
      </c>
      <c r="AC96" s="1" t="s">
        <v>27</v>
      </c>
      <c r="AD96" s="1">
        <v>3</v>
      </c>
      <c r="AE96" s="1">
        <v>3</v>
      </c>
      <c r="AF96" s="1" t="s">
        <v>27</v>
      </c>
      <c r="AG96" s="1" t="s">
        <v>27</v>
      </c>
      <c r="AH96" s="1" t="e">
        <f t="shared" si="26"/>
        <v>#VALUE!</v>
      </c>
      <c r="AI96" s="1" t="e">
        <f t="shared" si="27"/>
        <v>#VALUE!</v>
      </c>
      <c r="AJ96" s="1">
        <v>2.2400000000000002</v>
      </c>
      <c r="AK96" s="1">
        <v>0.69</v>
      </c>
      <c r="AL96" s="1">
        <f>Table1[[#This Row],[Chip Size -X (mm)]]*Table1[[#This Row],[Chip Size - Y (mm)]]</f>
        <v>1.5456000000000001</v>
      </c>
      <c r="AM96" s="1">
        <f>0.374*3</f>
        <v>1.1219999999999999</v>
      </c>
      <c r="AN96" s="1">
        <v>0.38</v>
      </c>
      <c r="AO96" s="1">
        <f t="shared" si="28"/>
        <v>0.14212</v>
      </c>
      <c r="AP96" s="2"/>
      <c r="AQ96" s="1"/>
      <c r="AR96" s="1"/>
      <c r="AS96" s="1"/>
      <c r="AT96" s="1">
        <v>38.5</v>
      </c>
      <c r="AU96" s="1"/>
      <c r="AV96" s="1">
        <v>28.6</v>
      </c>
      <c r="AW96" s="1">
        <v>0</v>
      </c>
      <c r="AX96" s="1"/>
    </row>
    <row r="97" spans="1:50" x14ac:dyDescent="0.2">
      <c r="A97" s="1" t="s">
        <v>14</v>
      </c>
      <c r="B97" s="1">
        <v>2022</v>
      </c>
      <c r="C97" s="1">
        <v>2</v>
      </c>
      <c r="D97" s="1" t="s">
        <v>157</v>
      </c>
      <c r="E97" s="29" t="s">
        <v>156</v>
      </c>
      <c r="F97" s="1" t="s">
        <v>41</v>
      </c>
      <c r="G97" s="1" t="s">
        <v>158</v>
      </c>
      <c r="H97" s="1">
        <v>22</v>
      </c>
      <c r="I97" s="1">
        <v>140</v>
      </c>
      <c r="J97" s="1">
        <f t="shared" si="30"/>
        <v>1</v>
      </c>
      <c r="K97" s="1" t="s">
        <v>27</v>
      </c>
      <c r="L97" s="1">
        <f t="shared" si="24"/>
        <v>1</v>
      </c>
      <c r="M97" s="1">
        <f t="shared" si="25"/>
        <v>0</v>
      </c>
      <c r="N97" s="1">
        <v>1</v>
      </c>
      <c r="O97" s="1"/>
      <c r="P97" s="1" t="s">
        <v>222</v>
      </c>
      <c r="Q97" s="1"/>
      <c r="R97" s="1" t="str">
        <f t="shared" ref="R97:R128" si="34">IF(Q97="","",Y97*AA97)</f>
        <v/>
      </c>
      <c r="S97" s="25">
        <f t="shared" si="32"/>
        <v>1.5000000000000002</v>
      </c>
      <c r="T97" s="1">
        <f t="shared" si="33"/>
        <v>0.17299999999999999</v>
      </c>
      <c r="U97" s="1" t="str">
        <f t="shared" si="31"/>
        <v>N/A</v>
      </c>
      <c r="V97" s="1" t="e">
        <f>IF(OR(ISNUMBER(Table1[[#This Row],[TX Pdc (W)]]), ISNUMBER(Table1[[#This Row],[RX Pdc (W)]])),MAX(Table1[[#This Row],[TX Pdc (W)]],Table1[[#This Row],[RX Pdc (W)]])/Table1[[#This Row],[Array Aperture Size (cm2)]],"N/A")</f>
        <v>#VALUE!</v>
      </c>
      <c r="W97" s="1">
        <f>IF(OR(ISNUMBER(Table1[[#This Row],[TX Pdc (W)]]), ISNUMBER(Table1[[#This Row],[RX Pdc (W)]])),MAX(Table1[[#This Row],[TX Pdc (W)]],Table1[[#This Row],[RX Pdc (W)]])/(Table1[[#This Row],['# of Array Tile]]*Table1[[#This Row],['# of IC per Tile]])/(Table1[[#This Row],[Chip Size (mm2)]]*0.01),"N/A")</f>
        <v>4.3249999999999993</v>
      </c>
      <c r="X97" s="23"/>
      <c r="Y97" s="1">
        <v>1</v>
      </c>
      <c r="Z97" s="1" t="s">
        <v>27</v>
      </c>
      <c r="AA97" s="1" t="s">
        <v>27</v>
      </c>
      <c r="AB97" s="1">
        <v>1</v>
      </c>
      <c r="AC97" s="1" t="s">
        <v>27</v>
      </c>
      <c r="AD97" s="1">
        <v>1</v>
      </c>
      <c r="AE97" s="1"/>
      <c r="AF97" s="1" t="s">
        <v>27</v>
      </c>
      <c r="AG97" s="1" t="s">
        <v>27</v>
      </c>
      <c r="AH97" s="1" t="e">
        <f t="shared" si="26"/>
        <v>#VALUE!</v>
      </c>
      <c r="AI97" s="1" t="e">
        <f t="shared" si="27"/>
        <v>#VALUE!</v>
      </c>
      <c r="AJ97" s="1">
        <v>2</v>
      </c>
      <c r="AK97" s="1">
        <v>2</v>
      </c>
      <c r="AL97" s="1">
        <f>Table1[[#This Row],[Chip Size -X (mm)]]*Table1[[#This Row],[Chip Size - Y (mm)]]</f>
        <v>4</v>
      </c>
      <c r="AM97" s="1">
        <v>1.32</v>
      </c>
      <c r="AN97" s="1">
        <v>0.4</v>
      </c>
      <c r="AO97" s="1">
        <f t="shared" si="28"/>
        <v>1.056</v>
      </c>
      <c r="AP97" s="2"/>
      <c r="AQ97" s="1">
        <v>1.5</v>
      </c>
      <c r="AR97" s="1"/>
      <c r="AS97" s="1"/>
      <c r="AT97" s="1"/>
      <c r="AU97" s="1"/>
      <c r="AV97" s="1">
        <v>173</v>
      </c>
      <c r="AW97" s="1"/>
      <c r="AX97" s="1"/>
    </row>
    <row r="98" spans="1:50" x14ac:dyDescent="0.2">
      <c r="A98" s="1" t="s">
        <v>68</v>
      </c>
      <c r="B98" s="1">
        <v>2022</v>
      </c>
      <c r="C98" s="1">
        <v>2</v>
      </c>
      <c r="D98" s="1" t="s">
        <v>69</v>
      </c>
      <c r="E98" s="29" t="s">
        <v>67</v>
      </c>
      <c r="F98" s="1" t="s">
        <v>41</v>
      </c>
      <c r="G98" s="1" t="s">
        <v>51</v>
      </c>
      <c r="H98" s="1">
        <v>45</v>
      </c>
      <c r="I98" s="1">
        <v>136</v>
      </c>
      <c r="J98" s="1">
        <f t="shared" si="30"/>
        <v>8</v>
      </c>
      <c r="K98" s="1">
        <v>2</v>
      </c>
      <c r="L98" s="1">
        <f t="shared" ref="L98:L129" si="35">AD98*AB98*Y98</f>
        <v>8</v>
      </c>
      <c r="M98" s="1">
        <f t="shared" ref="M98:M129" si="36">AE98*AB98*Y98</f>
        <v>0</v>
      </c>
      <c r="N98" s="1">
        <v>1</v>
      </c>
      <c r="O98" s="1"/>
      <c r="P98" s="1" t="s">
        <v>224</v>
      </c>
      <c r="Q98" s="1">
        <v>32</v>
      </c>
      <c r="R98" s="1">
        <f t="shared" si="34"/>
        <v>8</v>
      </c>
      <c r="S98" s="25">
        <f t="shared" si="32"/>
        <v>19.030899869919434</v>
      </c>
      <c r="T98" s="1">
        <f t="shared" si="33"/>
        <v>1.8480000000000001</v>
      </c>
      <c r="U98" s="1" t="str">
        <f t="shared" si="31"/>
        <v>N/A</v>
      </c>
      <c r="V98" s="1" t="e">
        <f>IF(OR(ISNUMBER(Table1[[#This Row],[TX Pdc (W)]]), ISNUMBER(Table1[[#This Row],[RX Pdc (W)]])),MAX(Table1[[#This Row],[TX Pdc (W)]],Table1[[#This Row],[RX Pdc (W)]])/Table1[[#This Row],[Array Aperture Size (cm2)]],"N/A")</f>
        <v>#VALUE!</v>
      </c>
      <c r="W98" s="1">
        <f>IF(OR(ISNUMBER(Table1[[#This Row],[TX Pdc (W)]]), ISNUMBER(Table1[[#This Row],[RX Pdc (W)]])),MAX(Table1[[#This Row],[TX Pdc (W)]],Table1[[#This Row],[RX Pdc (W)]])/(Table1[[#This Row],['# of Array Tile]]*Table1[[#This Row],['# of IC per Tile]])/(Table1[[#This Row],[Chip Size (mm2)]]*0.01),"N/A")</f>
        <v>6.7102396514161224</v>
      </c>
      <c r="X98" s="23"/>
      <c r="Y98" s="1">
        <v>1</v>
      </c>
      <c r="Z98" s="1" t="s">
        <v>228</v>
      </c>
      <c r="AA98" s="1">
        <v>8</v>
      </c>
      <c r="AB98" s="1">
        <v>1</v>
      </c>
      <c r="AC98" s="1" t="s">
        <v>27</v>
      </c>
      <c r="AD98" s="1">
        <v>8</v>
      </c>
      <c r="AE98" s="1"/>
      <c r="AF98" s="1" t="s">
        <v>27</v>
      </c>
      <c r="AG98" s="1" t="s">
        <v>27</v>
      </c>
      <c r="AH98" s="1" t="e">
        <f t="shared" ref="AH98:AH129" si="37">AF98*AG98</f>
        <v>#VALUE!</v>
      </c>
      <c r="AI98" s="1" t="e">
        <f t="shared" ref="AI98:AI129" si="38">(AH98*100/(Y98*AA98))</f>
        <v>#VALUE!</v>
      </c>
      <c r="AJ98" s="1">
        <v>5.0999999999999996</v>
      </c>
      <c r="AK98" s="1">
        <v>5.4</v>
      </c>
      <c r="AL98" s="1">
        <f>Table1[[#This Row],[Chip Size -X (mm)]]*Table1[[#This Row],[Chip Size - Y (mm)]]</f>
        <v>27.54</v>
      </c>
      <c r="AM98" s="1">
        <v>5.0999999999999996</v>
      </c>
      <c r="AN98" s="1">
        <v>4.96</v>
      </c>
      <c r="AO98" s="1">
        <f t="shared" ref="AO98:AO129" si="39">(AM98*AN98/(AD98+AE98)*MAX(AD98,AE98)*2)/MAX(AD98,AE98)</f>
        <v>6.3239999999999998</v>
      </c>
      <c r="AP98" s="2"/>
      <c r="AQ98" s="1">
        <v>10</v>
      </c>
      <c r="AR98" s="1"/>
      <c r="AS98" s="1">
        <v>21</v>
      </c>
      <c r="AT98" s="1"/>
      <c r="AU98" s="1"/>
      <c r="AV98" s="1">
        <v>231</v>
      </c>
      <c r="AW98" s="1"/>
      <c r="AX98" s="1"/>
    </row>
    <row r="99" spans="1:50" x14ac:dyDescent="0.2">
      <c r="A99" s="1" t="s">
        <v>14</v>
      </c>
      <c r="B99" s="1">
        <v>2022</v>
      </c>
      <c r="C99" s="1">
        <v>2</v>
      </c>
      <c r="D99" s="1" t="s">
        <v>163</v>
      </c>
      <c r="E99" s="29" t="s">
        <v>162</v>
      </c>
      <c r="F99" s="1" t="s">
        <v>151</v>
      </c>
      <c r="G99" s="1" t="s">
        <v>158</v>
      </c>
      <c r="H99" s="1">
        <v>265</v>
      </c>
      <c r="I99" s="1">
        <v>260</v>
      </c>
      <c r="J99" s="1">
        <f t="shared" si="30"/>
        <v>19208</v>
      </c>
      <c r="K99" s="1">
        <v>2</v>
      </c>
      <c r="L99" s="1">
        <f t="shared" si="35"/>
        <v>9604</v>
      </c>
      <c r="M99" s="1">
        <f t="shared" si="36"/>
        <v>9604</v>
      </c>
      <c r="N99" s="1">
        <v>1</v>
      </c>
      <c r="O99" s="1">
        <v>1</v>
      </c>
      <c r="P99" s="1" t="s">
        <v>218</v>
      </c>
      <c r="Q99" s="1"/>
      <c r="R99" s="1" t="str">
        <f t="shared" si="34"/>
        <v/>
      </c>
      <c r="S99" s="25" t="str">
        <f t="shared" si="32"/>
        <v>N/A</v>
      </c>
      <c r="T99" s="1">
        <v>0.85</v>
      </c>
      <c r="U99" s="1">
        <v>0</v>
      </c>
      <c r="V99" s="1">
        <f>IF(OR(ISNUMBER(Table1[[#This Row],[TX Pdc (W)]]), ISNUMBER(Table1[[#This Row],[RX Pdc (W)]])),MAX(Table1[[#This Row],[TX Pdc (W)]],Table1[[#This Row],[RX Pdc (W)]])/Table1[[#This Row],[Array Aperture Size (cm2)]],"N/A")</f>
        <v>2.7104591836734696E-2</v>
      </c>
      <c r="W99" s="1">
        <f>IF(OR(ISNUMBER(Table1[[#This Row],[TX Pdc (W)]]), ISNUMBER(Table1[[#This Row],[RX Pdc (W)]])),MAX(Table1[[#This Row],[TX Pdc (W)]],Table1[[#This Row],[RX Pdc (W)]])/(Table1[[#This Row],['# of Array Tile]]*Table1[[#This Row],['# of IC per Tile]])/(Table1[[#This Row],[Chip Size (mm2)]]*0.01),"N/A")</f>
        <v>2.7104591836734693E-2</v>
      </c>
      <c r="X99" s="23"/>
      <c r="Y99" s="1">
        <v>1</v>
      </c>
      <c r="Z99" s="1" t="s">
        <v>218</v>
      </c>
      <c r="AA99" s="1">
        <v>9604</v>
      </c>
      <c r="AB99" s="1">
        <v>196</v>
      </c>
      <c r="AC99" s="1" t="s">
        <v>27</v>
      </c>
      <c r="AD99" s="1">
        <v>49</v>
      </c>
      <c r="AE99" s="1">
        <v>49</v>
      </c>
      <c r="AF99" s="1">
        <v>5.6</v>
      </c>
      <c r="AG99" s="1">
        <v>5.6</v>
      </c>
      <c r="AH99" s="1">
        <f t="shared" si="37"/>
        <v>31.359999999999996</v>
      </c>
      <c r="AI99" s="1">
        <f t="shared" si="38"/>
        <v>0.32653061224489793</v>
      </c>
      <c r="AJ99" s="1">
        <v>4</v>
      </c>
      <c r="AK99" s="1">
        <v>4</v>
      </c>
      <c r="AL99" s="1">
        <f>Table1[[#This Row],[Chip Size -X (mm)]]*Table1[[#This Row],[Chip Size - Y (mm)]]</f>
        <v>16</v>
      </c>
      <c r="AM99" s="1">
        <v>4</v>
      </c>
      <c r="AN99" s="1">
        <v>4</v>
      </c>
      <c r="AO99" s="1">
        <f t="shared" si="39"/>
        <v>0.32653061224489793</v>
      </c>
      <c r="AP99" s="2"/>
      <c r="AQ99" s="1"/>
      <c r="AR99" s="1"/>
      <c r="AS99" s="1"/>
      <c r="AT99" s="1"/>
      <c r="AU99" s="1"/>
      <c r="AV99" s="1"/>
      <c r="AW99" s="1"/>
      <c r="AX99" s="1" t="s">
        <v>329</v>
      </c>
    </row>
    <row r="100" spans="1:50" x14ac:dyDescent="0.2">
      <c r="A100" s="1" t="s">
        <v>14</v>
      </c>
      <c r="B100" s="1">
        <v>2022</v>
      </c>
      <c r="C100" s="1">
        <v>2</v>
      </c>
      <c r="D100" s="1" t="s">
        <v>61</v>
      </c>
      <c r="E100" s="29" t="s">
        <v>66</v>
      </c>
      <c r="F100" s="1" t="s">
        <v>62</v>
      </c>
      <c r="G100" s="1" t="s">
        <v>17</v>
      </c>
      <c r="H100" s="1">
        <v>130</v>
      </c>
      <c r="I100" s="1">
        <v>140</v>
      </c>
      <c r="J100" s="1">
        <f t="shared" si="30"/>
        <v>256</v>
      </c>
      <c r="K100" s="1">
        <v>2</v>
      </c>
      <c r="L100" s="1">
        <f t="shared" si="35"/>
        <v>256</v>
      </c>
      <c r="M100" s="1">
        <f t="shared" si="36"/>
        <v>0</v>
      </c>
      <c r="N100" s="1">
        <v>1</v>
      </c>
      <c r="O100" s="1"/>
      <c r="P100" s="1" t="s">
        <v>224</v>
      </c>
      <c r="Q100" s="1"/>
      <c r="R100" s="1" t="str">
        <f t="shared" si="34"/>
        <v/>
      </c>
      <c r="S100" s="25">
        <f t="shared" si="32"/>
        <v>36.0823996531185</v>
      </c>
      <c r="T100" s="1">
        <f>IF(AV100="","N/A",AV100*AD100*AB100*Y100/1000)</f>
        <v>67.84</v>
      </c>
      <c r="U100" s="1" t="str">
        <f t="shared" ref="U100:U113" si="40">IF(AW100="","N/A",AW100*AE100*AB100*Y100/1000)</f>
        <v>N/A</v>
      </c>
      <c r="V100" s="1">
        <f>IF(OR(ISNUMBER(Table1[[#This Row],[TX Pdc (W)]]), ISNUMBER(Table1[[#This Row],[RX Pdc (W)]])),MAX(Table1[[#This Row],[TX Pdc (W)]],Table1[[#This Row],[RX Pdc (W)]])/Table1[[#This Row],[Array Aperture Size (cm2)]],"N/A")</f>
        <v>7.5377777777777784</v>
      </c>
      <c r="W100" s="1">
        <f>IF(OR(ISNUMBER(Table1[[#This Row],[TX Pdc (W)]]), ISNUMBER(Table1[[#This Row],[RX Pdc (W)]])),MAX(Table1[[#This Row],[TX Pdc (W)]],Table1[[#This Row],[RX Pdc (W)]])/(Table1[[#This Row],['# of Array Tile]]*Table1[[#This Row],['# of IC per Tile]])/(Table1[[#This Row],[Chip Size (mm2)]]*0.01),"N/A")</f>
        <v>23.793490460157127</v>
      </c>
      <c r="X100" s="23"/>
      <c r="Y100" s="1">
        <v>1</v>
      </c>
      <c r="Z100" s="1" t="s">
        <v>228</v>
      </c>
      <c r="AA100" s="1">
        <v>256</v>
      </c>
      <c r="AB100" s="1">
        <v>64</v>
      </c>
      <c r="AC100" s="1" t="s">
        <v>27</v>
      </c>
      <c r="AD100" s="1">
        <v>4</v>
      </c>
      <c r="AE100" s="1"/>
      <c r="AF100" s="1">
        <v>3</v>
      </c>
      <c r="AG100" s="1">
        <v>3</v>
      </c>
      <c r="AH100" s="1">
        <f t="shared" si="37"/>
        <v>9</v>
      </c>
      <c r="AI100" s="1">
        <f t="shared" si="38"/>
        <v>3.515625</v>
      </c>
      <c r="AJ100" s="1">
        <v>2.7</v>
      </c>
      <c r="AK100" s="1">
        <v>1.65</v>
      </c>
      <c r="AL100" s="1">
        <f>Table1[[#This Row],[Chip Size -X (mm)]]*Table1[[#This Row],[Chip Size - Y (mm)]]</f>
        <v>4.4550000000000001</v>
      </c>
      <c r="AM100" s="1">
        <v>2.7</v>
      </c>
      <c r="AN100" s="1">
        <v>1.65</v>
      </c>
      <c r="AO100" s="1">
        <f t="shared" si="39"/>
        <v>2.2275</v>
      </c>
      <c r="AP100" s="2"/>
      <c r="AQ100" s="1">
        <v>12</v>
      </c>
      <c r="AR100" s="1"/>
      <c r="AS100" s="1">
        <v>32</v>
      </c>
      <c r="AT100" s="1"/>
      <c r="AU100" s="1"/>
      <c r="AV100" s="1">
        <v>265</v>
      </c>
      <c r="AW100" s="1"/>
      <c r="AX100" s="1"/>
    </row>
    <row r="101" spans="1:50" x14ac:dyDescent="0.2">
      <c r="A101" s="1" t="s">
        <v>14</v>
      </c>
      <c r="B101" s="1">
        <v>2022</v>
      </c>
      <c r="C101" s="1">
        <v>2</v>
      </c>
      <c r="D101" s="1" t="s">
        <v>61</v>
      </c>
      <c r="E101" s="29" t="s">
        <v>66</v>
      </c>
      <c r="F101" s="1" t="s">
        <v>63</v>
      </c>
      <c r="G101" s="1" t="s">
        <v>17</v>
      </c>
      <c r="H101" s="1">
        <v>130</v>
      </c>
      <c r="I101" s="1">
        <v>140</v>
      </c>
      <c r="J101" s="1">
        <f t="shared" si="30"/>
        <v>256</v>
      </c>
      <c r="K101" s="1">
        <v>2</v>
      </c>
      <c r="L101" s="1">
        <f t="shared" si="35"/>
        <v>0</v>
      </c>
      <c r="M101" s="1">
        <f t="shared" si="36"/>
        <v>256</v>
      </c>
      <c r="N101" s="1"/>
      <c r="O101" s="1">
        <v>1</v>
      </c>
      <c r="P101" s="1" t="s">
        <v>224</v>
      </c>
      <c r="Q101" s="1"/>
      <c r="R101" s="1" t="str">
        <f t="shared" si="34"/>
        <v/>
      </c>
      <c r="S101" s="25" t="str">
        <f t="shared" si="32"/>
        <v>N/A</v>
      </c>
      <c r="T101" s="1" t="str">
        <f>IF(AV101="","N/A",AV101*AD101*AB101*Y101/1000)</f>
        <v>N/A</v>
      </c>
      <c r="U101" s="1">
        <f t="shared" si="40"/>
        <v>51.2</v>
      </c>
      <c r="V101" s="1">
        <f>IF(OR(ISNUMBER(Table1[[#This Row],[TX Pdc (W)]]), ISNUMBER(Table1[[#This Row],[RX Pdc (W)]])),MAX(Table1[[#This Row],[TX Pdc (W)]],Table1[[#This Row],[RX Pdc (W)]])/Table1[[#This Row],[Array Aperture Size (cm2)]],"N/A")</f>
        <v>5.6888888888888891</v>
      </c>
      <c r="W101" s="1">
        <f>IF(OR(ISNUMBER(Table1[[#This Row],[TX Pdc (W)]]), ISNUMBER(Table1[[#This Row],[RX Pdc (W)]])),MAX(Table1[[#This Row],[TX Pdc (W)]],Table1[[#This Row],[RX Pdc (W)]])/(Table1[[#This Row],['# of Array Tile]]*Table1[[#This Row],['# of IC per Tile]])/(Table1[[#This Row],[Chip Size (mm2)]]*0.01),"N/A")</f>
        <v>17.957351290684624</v>
      </c>
      <c r="X101" s="23"/>
      <c r="Y101" s="1">
        <v>1</v>
      </c>
      <c r="Z101" s="1" t="s">
        <v>228</v>
      </c>
      <c r="AA101" s="1">
        <v>256</v>
      </c>
      <c r="AB101" s="1">
        <v>64</v>
      </c>
      <c r="AC101" s="1" t="s">
        <v>27</v>
      </c>
      <c r="AD101" s="1"/>
      <c r="AE101" s="1">
        <v>4</v>
      </c>
      <c r="AF101" s="1">
        <v>3</v>
      </c>
      <c r="AG101" s="1">
        <v>3</v>
      </c>
      <c r="AH101" s="1">
        <f t="shared" si="37"/>
        <v>9</v>
      </c>
      <c r="AI101" s="1">
        <f t="shared" si="38"/>
        <v>3.515625</v>
      </c>
      <c r="AJ101" s="1">
        <v>2.7</v>
      </c>
      <c r="AK101" s="1">
        <v>1.65</v>
      </c>
      <c r="AL101" s="1">
        <f>Table1[[#This Row],[Chip Size -X (mm)]]*Table1[[#This Row],[Chip Size - Y (mm)]]</f>
        <v>4.4550000000000001</v>
      </c>
      <c r="AM101" s="1">
        <v>2.7</v>
      </c>
      <c r="AN101" s="1">
        <v>1.65</v>
      </c>
      <c r="AO101" s="1">
        <f t="shared" si="39"/>
        <v>2.2275</v>
      </c>
      <c r="AP101" s="2"/>
      <c r="AQ101" s="1"/>
      <c r="AR101" s="1"/>
      <c r="AS101" s="1"/>
      <c r="AT101" s="1">
        <v>10</v>
      </c>
      <c r="AU101" s="1">
        <v>30</v>
      </c>
      <c r="AV101" s="1"/>
      <c r="AW101" s="1">
        <v>200</v>
      </c>
      <c r="AX101" s="1"/>
    </row>
    <row r="102" spans="1:50" x14ac:dyDescent="0.2">
      <c r="A102" s="1" t="s">
        <v>68</v>
      </c>
      <c r="B102" s="1">
        <v>2022</v>
      </c>
      <c r="C102" s="1">
        <v>5</v>
      </c>
      <c r="D102" s="1" t="s">
        <v>117</v>
      </c>
      <c r="E102" s="29" t="s">
        <v>116</v>
      </c>
      <c r="F102" s="1" t="s">
        <v>35</v>
      </c>
      <c r="G102" s="1" t="s">
        <v>20</v>
      </c>
      <c r="H102" s="1">
        <v>65</v>
      </c>
      <c r="I102" s="1">
        <v>27</v>
      </c>
      <c r="J102" s="1">
        <f t="shared" si="30"/>
        <v>8</v>
      </c>
      <c r="K102" s="1">
        <v>2</v>
      </c>
      <c r="L102" s="1">
        <f t="shared" si="35"/>
        <v>4</v>
      </c>
      <c r="M102" s="1">
        <f t="shared" si="36"/>
        <v>4</v>
      </c>
      <c r="N102" s="1">
        <v>1</v>
      </c>
      <c r="O102" s="1">
        <v>1</v>
      </c>
      <c r="P102" s="1" t="s">
        <v>222</v>
      </c>
      <c r="Q102" s="1"/>
      <c r="R102" s="1" t="str">
        <f t="shared" si="34"/>
        <v/>
      </c>
      <c r="S102" s="25">
        <f t="shared" si="32"/>
        <v>24.020599913279629</v>
      </c>
      <c r="T102" s="1">
        <f>IF(AV102="","N/A",AV102*AD102*AB102*Y102/1000)</f>
        <v>1.0880000000000001</v>
      </c>
      <c r="U102" s="1">
        <f t="shared" si="40"/>
        <v>0.32800000000000001</v>
      </c>
      <c r="V102" s="1" t="e">
        <f>IF(OR(ISNUMBER(Table1[[#This Row],[TX Pdc (W)]]), ISNUMBER(Table1[[#This Row],[RX Pdc (W)]])),MAX(Table1[[#This Row],[TX Pdc (W)]],Table1[[#This Row],[RX Pdc (W)]])/Table1[[#This Row],[Array Aperture Size (cm2)]],"N/A")</f>
        <v>#VALUE!</v>
      </c>
      <c r="W102" s="1">
        <f>IF(OR(ISNUMBER(Table1[[#This Row],[TX Pdc (W)]]), ISNUMBER(Table1[[#This Row],[RX Pdc (W)]])),MAX(Table1[[#This Row],[TX Pdc (W)]],Table1[[#This Row],[RX Pdc (W)]])/(Table1[[#This Row],['# of Array Tile]]*Table1[[#This Row],['# of IC per Tile]])/(Table1[[#This Row],[Chip Size (mm2)]]*0.01),"N/A")</f>
        <v>3.1701631701631703</v>
      </c>
      <c r="X102" s="23"/>
      <c r="Y102" s="1">
        <v>1</v>
      </c>
      <c r="Z102" s="1" t="s">
        <v>27</v>
      </c>
      <c r="AA102" s="1" t="s">
        <v>27</v>
      </c>
      <c r="AB102" s="1">
        <v>1</v>
      </c>
      <c r="AC102" s="1" t="s">
        <v>309</v>
      </c>
      <c r="AD102" s="1">
        <v>4</v>
      </c>
      <c r="AE102" s="1">
        <v>4</v>
      </c>
      <c r="AF102" s="1" t="s">
        <v>27</v>
      </c>
      <c r="AG102" s="1" t="s">
        <v>27</v>
      </c>
      <c r="AH102" s="1" t="e">
        <f t="shared" si="37"/>
        <v>#VALUE!</v>
      </c>
      <c r="AI102" s="1" t="e">
        <f t="shared" si="38"/>
        <v>#VALUE!</v>
      </c>
      <c r="AJ102" s="1">
        <v>6.6</v>
      </c>
      <c r="AK102" s="1">
        <v>5.2</v>
      </c>
      <c r="AL102" s="1">
        <f>Table1[[#This Row],[Chip Size -X (mm)]]*Table1[[#This Row],[Chip Size - Y (mm)]]</f>
        <v>34.32</v>
      </c>
      <c r="AM102" s="1">
        <v>5.38</v>
      </c>
      <c r="AN102" s="1">
        <v>3.41</v>
      </c>
      <c r="AO102" s="1">
        <f t="shared" si="39"/>
        <v>4.5864500000000001</v>
      </c>
      <c r="AP102" s="2"/>
      <c r="AQ102" s="1">
        <v>18</v>
      </c>
      <c r="AR102" s="1">
        <v>20.8</v>
      </c>
      <c r="AS102" s="1">
        <v>25.5</v>
      </c>
      <c r="AT102" s="1">
        <v>5</v>
      </c>
      <c r="AU102" s="1">
        <v>14.2</v>
      </c>
      <c r="AV102" s="1">
        <v>272</v>
      </c>
      <c r="AW102" s="1">
        <v>82</v>
      </c>
      <c r="AX102" s="1"/>
    </row>
    <row r="103" spans="1:50" x14ac:dyDescent="0.2">
      <c r="A103" s="1" t="s">
        <v>68</v>
      </c>
      <c r="B103" s="1">
        <v>2022</v>
      </c>
      <c r="C103" s="1">
        <v>6</v>
      </c>
      <c r="D103" s="1" t="s">
        <v>119</v>
      </c>
      <c r="E103" s="29" t="s">
        <v>118</v>
      </c>
      <c r="F103" s="1" t="s">
        <v>26</v>
      </c>
      <c r="G103" s="1" t="s">
        <v>20</v>
      </c>
      <c r="H103" s="1">
        <v>65</v>
      </c>
      <c r="I103" s="1">
        <v>694</v>
      </c>
      <c r="J103" s="1">
        <f t="shared" si="30"/>
        <v>16</v>
      </c>
      <c r="K103" s="1">
        <v>2</v>
      </c>
      <c r="L103" s="1">
        <f t="shared" si="35"/>
        <v>16</v>
      </c>
      <c r="M103" s="1">
        <f t="shared" si="36"/>
        <v>0</v>
      </c>
      <c r="N103" s="1">
        <v>1</v>
      </c>
      <c r="O103" s="1"/>
      <c r="P103" s="1" t="s">
        <v>218</v>
      </c>
      <c r="Q103" s="1">
        <v>27.3</v>
      </c>
      <c r="R103" s="1">
        <f t="shared" si="34"/>
        <v>16</v>
      </c>
      <c r="S103" s="25">
        <v>-3</v>
      </c>
      <c r="T103" s="1">
        <v>0.79600000000000004</v>
      </c>
      <c r="U103" s="1" t="str">
        <f t="shared" si="40"/>
        <v>N/A</v>
      </c>
      <c r="V103" s="1" t="e">
        <f>IF(OR(ISNUMBER(Table1[[#This Row],[TX Pdc (W)]]), ISNUMBER(Table1[[#This Row],[RX Pdc (W)]])),MAX(Table1[[#This Row],[TX Pdc (W)]],Table1[[#This Row],[RX Pdc (W)]])/Table1[[#This Row],[Array Aperture Size (cm2)]],"N/A")</f>
        <v>#VALUE!</v>
      </c>
      <c r="W103" s="1">
        <f>IF(OR(ISNUMBER(Table1[[#This Row],[TX Pdc (W)]]), ISNUMBER(Table1[[#This Row],[RX Pdc (W)]])),MAX(Table1[[#This Row],[TX Pdc (W)]],Table1[[#This Row],[RX Pdc (W)]])/(Table1[[#This Row],['# of Array Tile]]*Table1[[#This Row],['# of IC per Tile]])/(Table1[[#This Row],[Chip Size (mm2)]]*0.01),"N/A")</f>
        <v>81.909857995472336</v>
      </c>
      <c r="X103" s="23"/>
      <c r="Y103" s="1">
        <v>1</v>
      </c>
      <c r="Z103" s="1" t="s">
        <v>230</v>
      </c>
      <c r="AA103" s="1">
        <v>16</v>
      </c>
      <c r="AB103" s="1">
        <v>1</v>
      </c>
      <c r="AC103" s="1" t="s">
        <v>27</v>
      </c>
      <c r="AD103" s="1">
        <v>16</v>
      </c>
      <c r="AE103" s="1"/>
      <c r="AF103" s="1" t="s">
        <v>27</v>
      </c>
      <c r="AG103" s="1" t="s">
        <v>27</v>
      </c>
      <c r="AH103" s="1" t="e">
        <f t="shared" si="37"/>
        <v>#VALUE!</v>
      </c>
      <c r="AI103" s="1" t="e">
        <f t="shared" si="38"/>
        <v>#VALUE!</v>
      </c>
      <c r="AJ103" s="1">
        <v>0.86</v>
      </c>
      <c r="AK103" s="1">
        <v>1.1299999999999999</v>
      </c>
      <c r="AL103" s="1">
        <f>Table1[[#This Row],[Chip Size -X (mm)]]*Table1[[#This Row],[Chip Size - Y (mm)]]</f>
        <v>0.97179999999999989</v>
      </c>
      <c r="AM103" s="1">
        <v>0.83</v>
      </c>
      <c r="AN103" s="1">
        <v>0.74</v>
      </c>
      <c r="AO103" s="1">
        <f t="shared" si="39"/>
        <v>7.6774999999999996E-2</v>
      </c>
      <c r="AP103" s="2"/>
      <c r="AQ103" s="1"/>
      <c r="AR103" s="1"/>
      <c r="AS103" s="1"/>
      <c r="AT103" s="1"/>
      <c r="AU103" s="1"/>
      <c r="AV103" s="1"/>
      <c r="AW103" s="1"/>
      <c r="AX103" s="1"/>
    </row>
    <row r="104" spans="1:50" x14ac:dyDescent="0.2">
      <c r="A104" s="1" t="s">
        <v>197</v>
      </c>
      <c r="B104" s="1">
        <v>2022</v>
      </c>
      <c r="C104" s="1">
        <v>6</v>
      </c>
      <c r="D104" s="1" t="s">
        <v>90</v>
      </c>
      <c r="E104" s="29" t="s">
        <v>268</v>
      </c>
      <c r="F104" s="1" t="s">
        <v>62</v>
      </c>
      <c r="G104" s="1"/>
      <c r="H104" s="1"/>
      <c r="I104" s="1">
        <v>14.25</v>
      </c>
      <c r="J104" s="1">
        <f t="shared" si="30"/>
        <v>64</v>
      </c>
      <c r="K104" s="1">
        <v>2</v>
      </c>
      <c r="L104" s="1">
        <f t="shared" si="35"/>
        <v>64</v>
      </c>
      <c r="M104" s="1">
        <f t="shared" si="36"/>
        <v>0</v>
      </c>
      <c r="N104" s="1">
        <v>1</v>
      </c>
      <c r="O104" s="1"/>
      <c r="P104" s="1" t="s">
        <v>223</v>
      </c>
      <c r="Q104" s="1">
        <v>70.400000000000006</v>
      </c>
      <c r="R104" s="1">
        <f t="shared" si="34"/>
        <v>1024</v>
      </c>
      <c r="S104" s="25">
        <f>IF(AQ104="","N/A",10*LOG10(10^(AQ104/10)*AD104*AB104*Y104))</f>
        <v>28.561799739838875</v>
      </c>
      <c r="T104" s="1">
        <f>12*4</f>
        <v>48</v>
      </c>
      <c r="U104" s="1" t="str">
        <f t="shared" si="40"/>
        <v>N/A</v>
      </c>
      <c r="V104" s="1">
        <f>IF(OR(ISNUMBER(Table1[[#This Row],[TX Pdc (W)]]), ISNUMBER(Table1[[#This Row],[RX Pdc (W)]])),MAX(Table1[[#This Row],[TX Pdc (W)]],Table1[[#This Row],[RX Pdc (W)]])/Table1[[#This Row],[Array Aperture Size (cm2)]],"N/A")</f>
        <v>3.519061583577713E-2</v>
      </c>
      <c r="W104" s="1" t="e">
        <f>IF(OR(ISNUMBER(Table1[[#This Row],[TX Pdc (W)]]), ISNUMBER(Table1[[#This Row],[RX Pdc (W)]])),MAX(Table1[[#This Row],[TX Pdc (W)]],Table1[[#This Row],[RX Pdc (W)]])/(Table1[[#This Row],['# of Array Tile]]*Table1[[#This Row],['# of IC per Tile]])/(Table1[[#This Row],[Chip Size (mm2)]]*0.01),"N/A")</f>
        <v>#VALUE!</v>
      </c>
      <c r="X104" s="23"/>
      <c r="Y104" s="1">
        <v>1</v>
      </c>
      <c r="Z104" s="1" t="s">
        <v>223</v>
      </c>
      <c r="AA104" s="1">
        <v>1024</v>
      </c>
      <c r="AB104" s="1">
        <v>8</v>
      </c>
      <c r="AC104" s="1" t="s">
        <v>27</v>
      </c>
      <c r="AD104" s="1">
        <v>8</v>
      </c>
      <c r="AE104" s="1"/>
      <c r="AF104" s="1">
        <v>68.2</v>
      </c>
      <c r="AG104" s="1">
        <v>20</v>
      </c>
      <c r="AH104" s="1">
        <f t="shared" si="37"/>
        <v>1364</v>
      </c>
      <c r="AI104" s="1">
        <f t="shared" si="38"/>
        <v>133.203125</v>
      </c>
      <c r="AJ104" s="1" t="s">
        <v>27</v>
      </c>
      <c r="AK104" s="1" t="s">
        <v>27</v>
      </c>
      <c r="AL104" s="1" t="e">
        <f>Table1[[#This Row],[Chip Size -X (mm)]]*Table1[[#This Row],[Chip Size - Y (mm)]]</f>
        <v>#VALUE!</v>
      </c>
      <c r="AM104" s="1" t="s">
        <v>27</v>
      </c>
      <c r="AN104" s="1" t="s">
        <v>27</v>
      </c>
      <c r="AO104" s="1" t="e">
        <f t="shared" si="39"/>
        <v>#VALUE!</v>
      </c>
      <c r="AP104" s="2"/>
      <c r="AQ104" s="1">
        <v>10.5</v>
      </c>
      <c r="AR104" s="1"/>
      <c r="AS104" s="1">
        <v>28</v>
      </c>
      <c r="AT104" s="1"/>
      <c r="AU104" s="1"/>
      <c r="AV104" s="1"/>
      <c r="AW104" s="1"/>
      <c r="AX104" s="1" t="s">
        <v>269</v>
      </c>
    </row>
    <row r="105" spans="1:50" x14ac:dyDescent="0.2">
      <c r="A105" s="1" t="s">
        <v>197</v>
      </c>
      <c r="B105" s="1">
        <v>2022</v>
      </c>
      <c r="C105" s="1">
        <v>6</v>
      </c>
      <c r="D105" s="1" t="s">
        <v>90</v>
      </c>
      <c r="E105" s="29" t="s">
        <v>198</v>
      </c>
      <c r="F105" s="1" t="s">
        <v>35</v>
      </c>
      <c r="G105" s="1" t="s">
        <v>17</v>
      </c>
      <c r="H105" s="1"/>
      <c r="I105" s="1">
        <v>28</v>
      </c>
      <c r="J105" s="1"/>
      <c r="K105" s="1">
        <v>2</v>
      </c>
      <c r="L105" s="1">
        <f t="shared" si="35"/>
        <v>32</v>
      </c>
      <c r="M105" s="1">
        <f t="shared" si="36"/>
        <v>32</v>
      </c>
      <c r="N105" s="1">
        <v>1</v>
      </c>
      <c r="O105" s="1">
        <v>1</v>
      </c>
      <c r="P105" s="1" t="s">
        <v>223</v>
      </c>
      <c r="Q105" s="1">
        <v>41.5</v>
      </c>
      <c r="R105" s="1">
        <f t="shared" si="34"/>
        <v>32</v>
      </c>
      <c r="S105" s="25">
        <f>10.6*0.5</f>
        <v>5.3</v>
      </c>
      <c r="T105" s="1">
        <f>7.8*0.5</f>
        <v>3.9</v>
      </c>
      <c r="U105" s="1" t="str">
        <f t="shared" si="40"/>
        <v>N/A</v>
      </c>
      <c r="V105" s="1">
        <f>IF(OR(ISNUMBER(Table1[[#This Row],[TX Pdc (W)]]), ISNUMBER(Table1[[#This Row],[RX Pdc (W)]])),MAX(Table1[[#This Row],[TX Pdc (W)]],Table1[[#This Row],[RX Pdc (W)]])/Table1[[#This Row],[Array Aperture Size (cm2)]],"N/A")</f>
        <v>0.6215733775341068</v>
      </c>
      <c r="W105" s="1" t="e">
        <f>IF(OR(ISNUMBER(Table1[[#This Row],[TX Pdc (W)]]), ISNUMBER(Table1[[#This Row],[RX Pdc (W)]])),MAX(Table1[[#This Row],[TX Pdc (W)]],Table1[[#This Row],[RX Pdc (W)]])/(Table1[[#This Row],['# of Array Tile]]*Table1[[#This Row],['# of IC per Tile]])/(Table1[[#This Row],[Chip Size (mm2)]]*0.01),"N/A")</f>
        <v>#VALUE!</v>
      </c>
      <c r="X105" s="23"/>
      <c r="Y105" s="1">
        <v>1</v>
      </c>
      <c r="Z105" s="1" t="s">
        <v>223</v>
      </c>
      <c r="AA105" s="1">
        <v>32</v>
      </c>
      <c r="AB105" s="1">
        <v>8</v>
      </c>
      <c r="AC105" s="1" t="s">
        <v>309</v>
      </c>
      <c r="AD105" s="1">
        <v>4</v>
      </c>
      <c r="AE105" s="1">
        <v>4</v>
      </c>
      <c r="AF105" s="1">
        <v>3.41</v>
      </c>
      <c r="AG105" s="1">
        <v>1.84</v>
      </c>
      <c r="AH105" s="1">
        <f t="shared" si="37"/>
        <v>6.2744000000000009</v>
      </c>
      <c r="AI105" s="1">
        <f t="shared" si="38"/>
        <v>19.607500000000002</v>
      </c>
      <c r="AJ105" s="1" t="s">
        <v>27</v>
      </c>
      <c r="AK105" s="1" t="s">
        <v>27</v>
      </c>
      <c r="AL105" s="1" t="e">
        <f>Table1[[#This Row],[Chip Size -X (mm)]]*Table1[[#This Row],[Chip Size - Y (mm)]]</f>
        <v>#VALUE!</v>
      </c>
      <c r="AM105" s="1" t="s">
        <v>27</v>
      </c>
      <c r="AN105" s="1" t="s">
        <v>27</v>
      </c>
      <c r="AO105" s="1" t="e">
        <f t="shared" si="39"/>
        <v>#VALUE!</v>
      </c>
      <c r="AP105" s="2"/>
      <c r="AQ105" s="1"/>
      <c r="AR105" s="1"/>
      <c r="AS105" s="1"/>
      <c r="AT105" s="1"/>
      <c r="AU105" s="1"/>
      <c r="AV105" s="1"/>
      <c r="AW105" s="1"/>
      <c r="AX105" s="1" t="s">
        <v>233</v>
      </c>
    </row>
    <row r="106" spans="1:50" x14ac:dyDescent="0.2">
      <c r="A106" s="1" t="s">
        <v>197</v>
      </c>
      <c r="B106" s="1">
        <v>2022</v>
      </c>
      <c r="C106" s="1">
        <v>6</v>
      </c>
      <c r="D106" s="1" t="s">
        <v>90</v>
      </c>
      <c r="E106" s="29" t="s">
        <v>198</v>
      </c>
      <c r="F106" s="1" t="s">
        <v>35</v>
      </c>
      <c r="G106" s="1" t="s">
        <v>17</v>
      </c>
      <c r="H106" s="1"/>
      <c r="I106" s="1">
        <v>39</v>
      </c>
      <c r="J106" s="1"/>
      <c r="K106" s="1">
        <v>2</v>
      </c>
      <c r="L106" s="1">
        <f t="shared" si="35"/>
        <v>32</v>
      </c>
      <c r="M106" s="1">
        <f t="shared" si="36"/>
        <v>32</v>
      </c>
      <c r="N106" s="1">
        <v>1</v>
      </c>
      <c r="O106" s="1">
        <v>1</v>
      </c>
      <c r="P106" s="1" t="s">
        <v>223</v>
      </c>
      <c r="Q106" s="1">
        <v>41.5</v>
      </c>
      <c r="R106" s="1">
        <f t="shared" si="34"/>
        <v>32</v>
      </c>
      <c r="S106" s="25">
        <f>10.6*0.5</f>
        <v>5.3</v>
      </c>
      <c r="T106" s="1">
        <f>7.8*0.5</f>
        <v>3.9</v>
      </c>
      <c r="U106" s="1" t="str">
        <f t="shared" si="40"/>
        <v>N/A</v>
      </c>
      <c r="V106" s="1">
        <f>IF(OR(ISNUMBER(Table1[[#This Row],[TX Pdc (W)]]), ISNUMBER(Table1[[#This Row],[RX Pdc (W)]])),MAX(Table1[[#This Row],[TX Pdc (W)]],Table1[[#This Row],[RX Pdc (W)]])/Table1[[#This Row],[Array Aperture Size (cm2)]],"N/A")</f>
        <v>0.6215733775341068</v>
      </c>
      <c r="W106" s="1" t="e">
        <f>IF(OR(ISNUMBER(Table1[[#This Row],[TX Pdc (W)]]), ISNUMBER(Table1[[#This Row],[RX Pdc (W)]])),MAX(Table1[[#This Row],[TX Pdc (W)]],Table1[[#This Row],[RX Pdc (W)]])/(Table1[[#This Row],['# of Array Tile]]*Table1[[#This Row],['# of IC per Tile]])/(Table1[[#This Row],[Chip Size (mm2)]]*0.01),"N/A")</f>
        <v>#VALUE!</v>
      </c>
      <c r="X106" s="23"/>
      <c r="Y106" s="1">
        <v>1</v>
      </c>
      <c r="Z106" s="1" t="s">
        <v>223</v>
      </c>
      <c r="AA106" s="1">
        <v>32</v>
      </c>
      <c r="AB106" s="1">
        <v>8</v>
      </c>
      <c r="AC106" s="1" t="s">
        <v>309</v>
      </c>
      <c r="AD106" s="1">
        <v>4</v>
      </c>
      <c r="AE106" s="1">
        <v>4</v>
      </c>
      <c r="AF106" s="1">
        <v>3.41</v>
      </c>
      <c r="AG106" s="1">
        <v>1.84</v>
      </c>
      <c r="AH106" s="1">
        <f t="shared" si="37"/>
        <v>6.2744000000000009</v>
      </c>
      <c r="AI106" s="1">
        <f t="shared" si="38"/>
        <v>19.607500000000002</v>
      </c>
      <c r="AJ106" s="1" t="s">
        <v>27</v>
      </c>
      <c r="AK106" s="1" t="s">
        <v>27</v>
      </c>
      <c r="AL106" s="1" t="e">
        <f>Table1[[#This Row],[Chip Size -X (mm)]]*Table1[[#This Row],[Chip Size - Y (mm)]]</f>
        <v>#VALUE!</v>
      </c>
      <c r="AM106" s="1" t="s">
        <v>27</v>
      </c>
      <c r="AN106" s="1" t="s">
        <v>27</v>
      </c>
      <c r="AO106" s="1" t="e">
        <f t="shared" si="39"/>
        <v>#VALUE!</v>
      </c>
      <c r="AP106" s="2"/>
      <c r="AQ106" s="1"/>
      <c r="AR106" s="1"/>
      <c r="AS106" s="1"/>
      <c r="AT106" s="1"/>
      <c r="AU106" s="1"/>
      <c r="AV106" s="1"/>
      <c r="AW106" s="1"/>
      <c r="AX106" s="1" t="s">
        <v>233</v>
      </c>
    </row>
    <row r="107" spans="1:50" x14ac:dyDescent="0.2">
      <c r="A107" s="1" t="s">
        <v>197</v>
      </c>
      <c r="B107" s="1">
        <v>2022</v>
      </c>
      <c r="C107" s="1">
        <v>6</v>
      </c>
      <c r="D107" s="1" t="s">
        <v>267</v>
      </c>
      <c r="E107" s="29" t="s">
        <v>266</v>
      </c>
      <c r="F107" s="1" t="s">
        <v>62</v>
      </c>
      <c r="G107" s="1"/>
      <c r="H107" s="1"/>
      <c r="I107" s="1">
        <v>29</v>
      </c>
      <c r="J107" s="1">
        <f t="shared" ref="J107:J152" si="41">L107+M107</f>
        <v>16</v>
      </c>
      <c r="K107" s="1">
        <v>2</v>
      </c>
      <c r="L107" s="1">
        <f t="shared" si="35"/>
        <v>16</v>
      </c>
      <c r="M107" s="1">
        <f t="shared" si="36"/>
        <v>0</v>
      </c>
      <c r="N107" s="1">
        <v>2</v>
      </c>
      <c r="O107" s="1"/>
      <c r="P107" s="1" t="s">
        <v>224</v>
      </c>
      <c r="Q107" s="1">
        <v>41</v>
      </c>
      <c r="R107" s="1">
        <f t="shared" si="34"/>
        <v>16</v>
      </c>
      <c r="S107" s="25">
        <f>IF(AQ107="","N/A",10*LOG10(10^(AQ107/10)*AD107*AB107*Y107))</f>
        <v>22.041199826559247</v>
      </c>
      <c r="T107" s="1">
        <v>2.6</v>
      </c>
      <c r="U107" s="1" t="str">
        <f t="shared" si="40"/>
        <v>N/A</v>
      </c>
      <c r="V107" s="1" t="e">
        <f>IF(OR(ISNUMBER(Table1[[#This Row],[TX Pdc (W)]]), ISNUMBER(Table1[[#This Row],[RX Pdc (W)]])),MAX(Table1[[#This Row],[TX Pdc (W)]],Table1[[#This Row],[RX Pdc (W)]])/Table1[[#This Row],[Array Aperture Size (cm2)]],"N/A")</f>
        <v>#VALUE!</v>
      </c>
      <c r="W107" s="1" t="e">
        <f>IF(OR(ISNUMBER(Table1[[#This Row],[TX Pdc (W)]]), ISNUMBER(Table1[[#This Row],[RX Pdc (W)]])),MAX(Table1[[#This Row],[TX Pdc (W)]],Table1[[#This Row],[RX Pdc (W)]])/(Table1[[#This Row],['# of Array Tile]]*Table1[[#This Row],['# of IC per Tile]])/(Table1[[#This Row],[Chip Size (mm2)]]*0.01),"N/A")</f>
        <v>#VALUE!</v>
      </c>
      <c r="X107" s="23"/>
      <c r="Y107" s="1">
        <v>1</v>
      </c>
      <c r="Z107" s="1"/>
      <c r="AA107" s="1">
        <v>16</v>
      </c>
      <c r="AB107" s="1">
        <v>4</v>
      </c>
      <c r="AC107" s="1" t="s">
        <v>27</v>
      </c>
      <c r="AD107" s="1">
        <v>4</v>
      </c>
      <c r="AE107" s="1"/>
      <c r="AF107" s="1" t="s">
        <v>27</v>
      </c>
      <c r="AG107" s="1" t="s">
        <v>27</v>
      </c>
      <c r="AH107" s="1" t="e">
        <f t="shared" si="37"/>
        <v>#VALUE!</v>
      </c>
      <c r="AI107" s="1" t="e">
        <f t="shared" si="38"/>
        <v>#VALUE!</v>
      </c>
      <c r="AJ107" s="1" t="s">
        <v>27</v>
      </c>
      <c r="AK107" s="1" t="s">
        <v>27</v>
      </c>
      <c r="AL107" s="1" t="e">
        <f>Table1[[#This Row],[Chip Size -X (mm)]]*Table1[[#This Row],[Chip Size - Y (mm)]]</f>
        <v>#VALUE!</v>
      </c>
      <c r="AM107" s="1" t="s">
        <v>27</v>
      </c>
      <c r="AN107" s="1" t="s">
        <v>27</v>
      </c>
      <c r="AO107" s="1" t="e">
        <f t="shared" si="39"/>
        <v>#VALUE!</v>
      </c>
      <c r="AP107" s="2"/>
      <c r="AQ107" s="1">
        <v>10</v>
      </c>
      <c r="AR107" s="1"/>
      <c r="AS107" s="1">
        <v>22</v>
      </c>
      <c r="AT107" s="1"/>
      <c r="AU107" s="1"/>
      <c r="AV107" s="1"/>
      <c r="AW107" s="1"/>
      <c r="AX107" s="1"/>
    </row>
    <row r="108" spans="1:50" x14ac:dyDescent="0.2">
      <c r="A108" s="1" t="s">
        <v>49</v>
      </c>
      <c r="B108" s="1">
        <v>2022</v>
      </c>
      <c r="C108" s="1">
        <v>7</v>
      </c>
      <c r="D108" s="1" t="s">
        <v>119</v>
      </c>
      <c r="E108" s="29" t="s">
        <v>120</v>
      </c>
      <c r="F108" s="1" t="s">
        <v>26</v>
      </c>
      <c r="G108" s="1" t="s">
        <v>20</v>
      </c>
      <c r="H108" s="1">
        <v>65</v>
      </c>
      <c r="I108" s="1">
        <v>472</v>
      </c>
      <c r="J108" s="1">
        <f t="shared" si="41"/>
        <v>16</v>
      </c>
      <c r="K108" s="1">
        <v>2</v>
      </c>
      <c r="L108" s="1">
        <f t="shared" si="35"/>
        <v>16</v>
      </c>
      <c r="M108" s="1">
        <f t="shared" si="36"/>
        <v>0</v>
      </c>
      <c r="N108" s="1">
        <v>1</v>
      </c>
      <c r="O108" s="1"/>
      <c r="P108" s="1" t="s">
        <v>218</v>
      </c>
      <c r="Q108" s="1">
        <v>29.9</v>
      </c>
      <c r="R108" s="1">
        <f t="shared" si="34"/>
        <v>16</v>
      </c>
      <c r="S108" s="25">
        <v>-3.8</v>
      </c>
      <c r="T108" s="1">
        <v>0.41899999999999998</v>
      </c>
      <c r="U108" s="1" t="str">
        <f t="shared" si="40"/>
        <v>N/A</v>
      </c>
      <c r="V108" s="1" t="e">
        <f>IF(OR(ISNUMBER(Table1[[#This Row],[TX Pdc (W)]]), ISNUMBER(Table1[[#This Row],[RX Pdc (W)]])),MAX(Table1[[#This Row],[TX Pdc (W)]],Table1[[#This Row],[RX Pdc (W)]])/Table1[[#This Row],[Array Aperture Size (cm2)]],"N/A")</f>
        <v>#VALUE!</v>
      </c>
      <c r="W108" s="1">
        <f>IF(OR(ISNUMBER(Table1[[#This Row],[TX Pdc (W)]]), ISNUMBER(Table1[[#This Row],[RX Pdc (W)]])),MAX(Table1[[#This Row],[TX Pdc (W)]],Table1[[#This Row],[RX Pdc (W)]])/(Table1[[#This Row],['# of Array Tile]]*Table1[[#This Row],['# of IC per Tile]])/(Table1[[#This Row],[Chip Size (mm2)]]*0.01),"N/A")</f>
        <v>52.375</v>
      </c>
      <c r="X108" s="23"/>
      <c r="Y108" s="1">
        <v>1</v>
      </c>
      <c r="Z108" s="1" t="s">
        <v>230</v>
      </c>
      <c r="AA108" s="1">
        <v>16</v>
      </c>
      <c r="AB108" s="1">
        <v>1</v>
      </c>
      <c r="AC108" s="1" t="s">
        <v>27</v>
      </c>
      <c r="AD108" s="1">
        <v>16</v>
      </c>
      <c r="AE108" s="1"/>
      <c r="AF108" s="1" t="s">
        <v>27</v>
      </c>
      <c r="AG108" s="1" t="s">
        <v>27</v>
      </c>
      <c r="AH108" s="1" t="e">
        <f t="shared" si="37"/>
        <v>#VALUE!</v>
      </c>
      <c r="AI108" s="1" t="e">
        <f t="shared" si="38"/>
        <v>#VALUE!</v>
      </c>
      <c r="AJ108" s="1">
        <v>0.8</v>
      </c>
      <c r="AK108" s="1">
        <v>1</v>
      </c>
      <c r="AL108" s="1">
        <f>Table1[[#This Row],[Chip Size -X (mm)]]*Table1[[#This Row],[Chip Size - Y (mm)]]</f>
        <v>0.8</v>
      </c>
      <c r="AM108" s="1">
        <v>0.8</v>
      </c>
      <c r="AN108" s="1">
        <v>0.7</v>
      </c>
      <c r="AO108" s="1">
        <f t="shared" si="39"/>
        <v>6.9999999999999993E-2</v>
      </c>
      <c r="AP108" s="2"/>
      <c r="AQ108" s="1"/>
      <c r="AR108" s="1">
        <v>0.1</v>
      </c>
      <c r="AS108" s="1"/>
      <c r="AT108" s="1"/>
      <c r="AU108" s="1"/>
      <c r="AV108" s="1"/>
      <c r="AW108" s="1"/>
      <c r="AX108" s="1"/>
    </row>
    <row r="109" spans="1:50" x14ac:dyDescent="0.2">
      <c r="A109" s="1" t="s">
        <v>68</v>
      </c>
      <c r="B109" s="1">
        <v>2022</v>
      </c>
      <c r="C109" s="1">
        <v>7</v>
      </c>
      <c r="D109" s="1" t="s">
        <v>29</v>
      </c>
      <c r="E109" s="29" t="s">
        <v>121</v>
      </c>
      <c r="F109" s="1" t="s">
        <v>26</v>
      </c>
      <c r="G109" s="1" t="s">
        <v>20</v>
      </c>
      <c r="H109" s="1">
        <v>65</v>
      </c>
      <c r="I109" s="1">
        <v>416</v>
      </c>
      <c r="J109" s="1">
        <f t="shared" si="41"/>
        <v>16</v>
      </c>
      <c r="K109" s="1">
        <v>2</v>
      </c>
      <c r="L109" s="1">
        <f t="shared" si="35"/>
        <v>16</v>
      </c>
      <c r="M109" s="1">
        <f t="shared" si="36"/>
        <v>0</v>
      </c>
      <c r="N109" s="1">
        <v>1</v>
      </c>
      <c r="O109" s="1"/>
      <c r="P109" s="1" t="s">
        <v>218</v>
      </c>
      <c r="Q109" s="1">
        <v>14</v>
      </c>
      <c r="R109" s="1">
        <f t="shared" si="34"/>
        <v>16</v>
      </c>
      <c r="S109" s="25">
        <v>-3</v>
      </c>
      <c r="T109" s="1">
        <v>1.45</v>
      </c>
      <c r="U109" s="1" t="str">
        <f t="shared" si="40"/>
        <v>N/A</v>
      </c>
      <c r="V109" s="1" t="e">
        <f>IF(OR(ISNUMBER(Table1[[#This Row],[TX Pdc (W)]]), ISNUMBER(Table1[[#This Row],[RX Pdc (W)]])),MAX(Table1[[#This Row],[TX Pdc (W)]],Table1[[#This Row],[RX Pdc (W)]])/Table1[[#This Row],[Array Aperture Size (cm2)]],"N/A")</f>
        <v>#VALUE!</v>
      </c>
      <c r="W109" s="1">
        <f>IF(OR(ISNUMBER(Table1[[#This Row],[TX Pdc (W)]]), ISNUMBER(Table1[[#This Row],[RX Pdc (W)]])),MAX(Table1[[#This Row],[TX Pdc (W)]],Table1[[#This Row],[RX Pdc (W)]])/(Table1[[#This Row],['# of Array Tile]]*Table1[[#This Row],['# of IC per Tile]])/(Table1[[#This Row],[Chip Size (mm2)]]*0.01),"N/A")</f>
        <v>35.024154589371982</v>
      </c>
      <c r="X109" s="23"/>
      <c r="Y109" s="1">
        <v>1</v>
      </c>
      <c r="Z109" s="1" t="s">
        <v>218</v>
      </c>
      <c r="AA109" s="1">
        <v>16</v>
      </c>
      <c r="AB109" s="1">
        <v>1</v>
      </c>
      <c r="AC109" s="1" t="s">
        <v>27</v>
      </c>
      <c r="AD109" s="1">
        <v>16</v>
      </c>
      <c r="AE109" s="1"/>
      <c r="AF109" s="1" t="s">
        <v>27</v>
      </c>
      <c r="AG109" s="1" t="s">
        <v>27</v>
      </c>
      <c r="AH109" s="1" t="e">
        <f t="shared" si="37"/>
        <v>#VALUE!</v>
      </c>
      <c r="AI109" s="1" t="e">
        <f t="shared" si="38"/>
        <v>#VALUE!</v>
      </c>
      <c r="AJ109" s="1">
        <v>2.2999999999999998</v>
      </c>
      <c r="AK109" s="1">
        <v>1.8</v>
      </c>
      <c r="AL109" s="1">
        <f>Table1[[#This Row],[Chip Size -X (mm)]]*Table1[[#This Row],[Chip Size - Y (mm)]]</f>
        <v>4.1399999999999997</v>
      </c>
      <c r="AM109" s="1">
        <v>1.5</v>
      </c>
      <c r="AN109" s="1">
        <v>1.49</v>
      </c>
      <c r="AO109" s="1">
        <f t="shared" si="39"/>
        <v>0.27937499999999998</v>
      </c>
      <c r="AP109" s="2"/>
      <c r="AQ109" s="1"/>
      <c r="AR109" s="1"/>
      <c r="AS109" s="1"/>
      <c r="AT109" s="1"/>
      <c r="AU109" s="1"/>
      <c r="AV109" s="1"/>
      <c r="AW109" s="1"/>
      <c r="AX109" s="1"/>
    </row>
    <row r="110" spans="1:50" x14ac:dyDescent="0.2">
      <c r="A110" s="1" t="s">
        <v>68</v>
      </c>
      <c r="B110" s="1">
        <v>2022</v>
      </c>
      <c r="C110" s="1">
        <v>7</v>
      </c>
      <c r="D110" s="1" t="s">
        <v>69</v>
      </c>
      <c r="E110" s="29" t="s">
        <v>122</v>
      </c>
      <c r="F110" s="1" t="s">
        <v>41</v>
      </c>
      <c r="G110" s="1" t="s">
        <v>17</v>
      </c>
      <c r="H110" s="1">
        <v>130</v>
      </c>
      <c r="I110" s="1">
        <v>93</v>
      </c>
      <c r="J110" s="1">
        <f t="shared" si="41"/>
        <v>4</v>
      </c>
      <c r="K110" s="1">
        <v>2</v>
      </c>
      <c r="L110" s="1">
        <f t="shared" si="35"/>
        <v>4</v>
      </c>
      <c r="M110" s="1">
        <f t="shared" si="36"/>
        <v>0</v>
      </c>
      <c r="N110" s="1">
        <v>1</v>
      </c>
      <c r="O110" s="1"/>
      <c r="P110" s="1" t="s">
        <v>223</v>
      </c>
      <c r="Q110" s="1"/>
      <c r="R110" s="1" t="str">
        <f t="shared" si="34"/>
        <v/>
      </c>
      <c r="S110" s="25">
        <f t="shared" ref="S110:S132" si="42">IF(AQ110="","N/A",10*LOG10(10^(AQ110/10)*AD110*AB110*Y110))</f>
        <v>20.020599913279625</v>
      </c>
      <c r="T110" s="1">
        <f>IF(AV110="","N/A",AV110*AD110*AB110*Y110/1000)</f>
        <v>1.28</v>
      </c>
      <c r="U110" s="1" t="str">
        <f t="shared" si="40"/>
        <v>N/A</v>
      </c>
      <c r="V110" s="1">
        <f>IF(OR(ISNUMBER(Table1[[#This Row],[TX Pdc (W)]]), ISNUMBER(Table1[[#This Row],[RX Pdc (W)]])),MAX(Table1[[#This Row],[TX Pdc (W)]],Table1[[#This Row],[RX Pdc (W)]])/Table1[[#This Row],[Array Aperture Size (cm2)]],"N/A")</f>
        <v>6.9226608977825856</v>
      </c>
      <c r="W110" s="1">
        <f>IF(OR(ISNUMBER(Table1[[#This Row],[TX Pdc (W)]]), ISNUMBER(Table1[[#This Row],[RX Pdc (W)]])),MAX(Table1[[#This Row],[TX Pdc (W)]],Table1[[#This Row],[RX Pdc (W)]])/(Table1[[#This Row],['# of Array Tile]]*Table1[[#This Row],['# of IC per Tile]])/(Table1[[#This Row],[Chip Size (mm2)]]*0.01),"N/A")</f>
        <v>32</v>
      </c>
      <c r="X110" s="23"/>
      <c r="Y110" s="1">
        <v>1</v>
      </c>
      <c r="Z110" s="1" t="s">
        <v>223</v>
      </c>
      <c r="AA110" s="1">
        <v>4</v>
      </c>
      <c r="AB110" s="1">
        <v>1</v>
      </c>
      <c r="AC110" s="1" t="s">
        <v>27</v>
      </c>
      <c r="AD110" s="1">
        <v>4</v>
      </c>
      <c r="AE110" s="1"/>
      <c r="AF110" s="1">
        <v>0.43</v>
      </c>
      <c r="AG110" s="1">
        <v>0.43</v>
      </c>
      <c r="AH110" s="1">
        <f t="shared" si="37"/>
        <v>0.18489999999999998</v>
      </c>
      <c r="AI110" s="1">
        <f t="shared" si="38"/>
        <v>4.6224999999999996</v>
      </c>
      <c r="AJ110" s="1">
        <v>2</v>
      </c>
      <c r="AK110" s="1">
        <v>2</v>
      </c>
      <c r="AL110" s="1">
        <f>Table1[[#This Row],[Chip Size -X (mm)]]*Table1[[#This Row],[Chip Size - Y (mm)]]</f>
        <v>4</v>
      </c>
      <c r="AM110" s="1">
        <v>1.62</v>
      </c>
      <c r="AN110" s="1">
        <v>1.63</v>
      </c>
      <c r="AO110" s="1">
        <f t="shared" si="39"/>
        <v>1.3203</v>
      </c>
      <c r="AP110" s="2"/>
      <c r="AQ110" s="1">
        <v>14</v>
      </c>
      <c r="AR110" s="1"/>
      <c r="AS110" s="1"/>
      <c r="AT110" s="1"/>
      <c r="AU110" s="1"/>
      <c r="AV110" s="1">
        <v>320</v>
      </c>
      <c r="AW110" s="1"/>
      <c r="AX110" s="1"/>
    </row>
    <row r="111" spans="1:50" x14ac:dyDescent="0.2">
      <c r="A111" s="1" t="s">
        <v>68</v>
      </c>
      <c r="B111" s="1">
        <v>2022</v>
      </c>
      <c r="C111" s="1">
        <v>7</v>
      </c>
      <c r="D111" s="1" t="s">
        <v>69</v>
      </c>
      <c r="E111" s="29" t="s">
        <v>122</v>
      </c>
      <c r="F111" s="1" t="s">
        <v>33</v>
      </c>
      <c r="G111" s="1" t="s">
        <v>17</v>
      </c>
      <c r="H111" s="1">
        <v>130</v>
      </c>
      <c r="I111" s="1">
        <v>93</v>
      </c>
      <c r="J111" s="1">
        <f t="shared" si="41"/>
        <v>4</v>
      </c>
      <c r="K111" s="1">
        <v>2</v>
      </c>
      <c r="L111" s="1">
        <f t="shared" si="35"/>
        <v>0</v>
      </c>
      <c r="M111" s="1">
        <f t="shared" si="36"/>
        <v>4</v>
      </c>
      <c r="N111" s="1"/>
      <c r="O111" s="1">
        <v>1</v>
      </c>
      <c r="P111" s="1" t="s">
        <v>223</v>
      </c>
      <c r="Q111" s="1"/>
      <c r="R111" s="1" t="str">
        <f t="shared" si="34"/>
        <v/>
      </c>
      <c r="S111" s="25" t="str">
        <f t="shared" si="42"/>
        <v>N/A</v>
      </c>
      <c r="T111" s="1" t="str">
        <f>IF(AV111="","N/A",AV111*AD111*AB111*Y111/1000)</f>
        <v>N/A</v>
      </c>
      <c r="U111" s="1">
        <f t="shared" si="40"/>
        <v>0.72</v>
      </c>
      <c r="V111" s="1">
        <f>IF(OR(ISNUMBER(Table1[[#This Row],[TX Pdc (W)]]), ISNUMBER(Table1[[#This Row],[RX Pdc (W)]])),MAX(Table1[[#This Row],[TX Pdc (W)]],Table1[[#This Row],[RX Pdc (W)]])/Table1[[#This Row],[Array Aperture Size (cm2)]],"N/A")</f>
        <v>3.8939967550027044</v>
      </c>
      <c r="W111" s="1">
        <f>IF(OR(ISNUMBER(Table1[[#This Row],[TX Pdc (W)]]), ISNUMBER(Table1[[#This Row],[RX Pdc (W)]])),MAX(Table1[[#This Row],[TX Pdc (W)]],Table1[[#This Row],[RX Pdc (W)]])/(Table1[[#This Row],['# of Array Tile]]*Table1[[#This Row],['# of IC per Tile]])/(Table1[[#This Row],[Chip Size (mm2)]]*0.01),"N/A")</f>
        <v>18</v>
      </c>
      <c r="X111" s="23"/>
      <c r="Y111" s="1">
        <v>1</v>
      </c>
      <c r="Z111" s="1" t="s">
        <v>223</v>
      </c>
      <c r="AA111" s="1">
        <v>4</v>
      </c>
      <c r="AB111" s="1">
        <v>1</v>
      </c>
      <c r="AC111" s="1" t="s">
        <v>27</v>
      </c>
      <c r="AD111" s="1"/>
      <c r="AE111" s="1">
        <v>4</v>
      </c>
      <c r="AF111" s="1">
        <v>0.43</v>
      </c>
      <c r="AG111" s="1">
        <v>0.43</v>
      </c>
      <c r="AH111" s="1">
        <f t="shared" si="37"/>
        <v>0.18489999999999998</v>
      </c>
      <c r="AI111" s="1">
        <f t="shared" si="38"/>
        <v>4.6224999999999996</v>
      </c>
      <c r="AJ111" s="1">
        <v>2</v>
      </c>
      <c r="AK111" s="1">
        <v>2</v>
      </c>
      <c r="AL111" s="1">
        <f>Table1[[#This Row],[Chip Size -X (mm)]]*Table1[[#This Row],[Chip Size - Y (mm)]]</f>
        <v>4</v>
      </c>
      <c r="AM111" s="1">
        <v>1.62</v>
      </c>
      <c r="AN111" s="1">
        <v>1.63</v>
      </c>
      <c r="AO111" s="1">
        <f t="shared" si="39"/>
        <v>1.3203</v>
      </c>
      <c r="AP111" s="2"/>
      <c r="AQ111" s="1"/>
      <c r="AR111" s="1"/>
      <c r="AS111" s="1"/>
      <c r="AT111" s="1">
        <v>7.7</v>
      </c>
      <c r="AU111" s="1"/>
      <c r="AV111" s="1"/>
      <c r="AW111" s="1">
        <v>180</v>
      </c>
      <c r="AX111" s="1"/>
    </row>
    <row r="112" spans="1:50" x14ac:dyDescent="0.2">
      <c r="A112" s="1" t="s">
        <v>68</v>
      </c>
      <c r="B112" s="1">
        <v>2022</v>
      </c>
      <c r="C112" s="1">
        <v>9</v>
      </c>
      <c r="D112" s="1" t="s">
        <v>96</v>
      </c>
      <c r="E112" s="29" t="s">
        <v>123</v>
      </c>
      <c r="F112" s="1" t="s">
        <v>35</v>
      </c>
      <c r="G112" s="1" t="s">
        <v>17</v>
      </c>
      <c r="H112" s="1">
        <v>130</v>
      </c>
      <c r="I112" s="1">
        <v>27</v>
      </c>
      <c r="J112" s="1">
        <f t="shared" si="41"/>
        <v>512</v>
      </c>
      <c r="K112" s="1">
        <v>2</v>
      </c>
      <c r="L112" s="1">
        <f t="shared" si="35"/>
        <v>256</v>
      </c>
      <c r="M112" s="1">
        <f t="shared" si="36"/>
        <v>256</v>
      </c>
      <c r="N112" s="1">
        <v>2</v>
      </c>
      <c r="O112" s="1">
        <v>2</v>
      </c>
      <c r="P112" s="1" t="s">
        <v>224</v>
      </c>
      <c r="Q112" s="1">
        <v>68.5</v>
      </c>
      <c r="R112" s="1">
        <f t="shared" si="34"/>
        <v>256</v>
      </c>
      <c r="S112" s="25">
        <f t="shared" si="42"/>
        <v>41.082399653118493</v>
      </c>
      <c r="T112" s="1">
        <f>IF(AV112="","N/A",AV112*AD112*AB112*Y112/1000)</f>
        <v>55.04</v>
      </c>
      <c r="U112" s="1">
        <f t="shared" si="40"/>
        <v>23.04</v>
      </c>
      <c r="V112" s="1">
        <f>IF(OR(ISNUMBER(Table1[[#This Row],[TX Pdc (W)]]), ISNUMBER(Table1[[#This Row],[RX Pdc (W)]])),MAX(Table1[[#This Row],[TX Pdc (W)]],Table1[[#This Row],[RX Pdc (W)]])/Table1[[#This Row],[Array Aperture Size (cm2)]],"N/A")</f>
        <v>3.04719723183391</v>
      </c>
      <c r="W112" s="1">
        <f>IF(OR(ISNUMBER(Table1[[#This Row],[TX Pdc (W)]]), ISNUMBER(Table1[[#This Row],[RX Pdc (W)]])),MAX(Table1[[#This Row],[TX Pdc (W)]],Table1[[#This Row],[RX Pdc (W)]])/(Table1[[#This Row],['# of Array Tile]]*Table1[[#This Row],['# of IC per Tile]])/(Table1[[#This Row],[Chip Size (mm2)]]*0.01),"N/A")</f>
        <v>4.6536796536796547</v>
      </c>
      <c r="X112" s="23"/>
      <c r="Y112" s="1">
        <v>4</v>
      </c>
      <c r="Z112" s="1" t="s">
        <v>231</v>
      </c>
      <c r="AA112" s="1">
        <v>64</v>
      </c>
      <c r="AB112" s="1">
        <v>8</v>
      </c>
      <c r="AC112" s="1" t="s">
        <v>309</v>
      </c>
      <c r="AD112" s="1">
        <v>8</v>
      </c>
      <c r="AE112" s="1">
        <v>8</v>
      </c>
      <c r="AF112" s="1">
        <v>4.25</v>
      </c>
      <c r="AG112" s="1">
        <v>4.25</v>
      </c>
      <c r="AH112" s="1">
        <f t="shared" si="37"/>
        <v>18.0625</v>
      </c>
      <c r="AI112" s="1">
        <f t="shared" si="38"/>
        <v>7.0556640625</v>
      </c>
      <c r="AJ112" s="1">
        <v>6.6</v>
      </c>
      <c r="AK112" s="1">
        <v>5.6</v>
      </c>
      <c r="AL112" s="1">
        <f>Table1[[#This Row],[Chip Size -X (mm)]]*Table1[[#This Row],[Chip Size - Y (mm)]]</f>
        <v>36.959999999999994</v>
      </c>
      <c r="AM112" s="1">
        <v>6.13</v>
      </c>
      <c r="AN112" s="1">
        <v>4.8</v>
      </c>
      <c r="AO112" s="1">
        <f t="shared" si="39"/>
        <v>3.6779999999999999</v>
      </c>
      <c r="AP112" s="2"/>
      <c r="AQ112" s="1">
        <v>17</v>
      </c>
      <c r="AR112" s="1">
        <v>23</v>
      </c>
      <c r="AS112" s="1">
        <v>31</v>
      </c>
      <c r="AT112" s="1">
        <v>3.1</v>
      </c>
      <c r="AU112" s="1">
        <v>30</v>
      </c>
      <c r="AV112" s="1">
        <v>215</v>
      </c>
      <c r="AW112" s="1">
        <v>90</v>
      </c>
      <c r="AX112" s="1"/>
    </row>
    <row r="113" spans="1:50" x14ac:dyDescent="0.2">
      <c r="A113" s="1" t="s">
        <v>49</v>
      </c>
      <c r="B113" s="1">
        <v>2022</v>
      </c>
      <c r="C113" s="1">
        <v>9</v>
      </c>
      <c r="D113" s="1" t="s">
        <v>127</v>
      </c>
      <c r="E113" s="29" t="s">
        <v>126</v>
      </c>
      <c r="F113" s="1" t="s">
        <v>62</v>
      </c>
      <c r="G113" s="1" t="s">
        <v>17</v>
      </c>
      <c r="H113" s="1">
        <v>55</v>
      </c>
      <c r="I113" s="1">
        <v>150</v>
      </c>
      <c r="J113" s="1">
        <f t="shared" si="41"/>
        <v>16</v>
      </c>
      <c r="K113" s="1">
        <v>2</v>
      </c>
      <c r="L113" s="1">
        <f t="shared" si="35"/>
        <v>16</v>
      </c>
      <c r="M113" s="1">
        <f t="shared" si="36"/>
        <v>0</v>
      </c>
      <c r="N113" s="1">
        <v>1</v>
      </c>
      <c r="O113" s="1"/>
      <c r="P113" s="1" t="s">
        <v>223</v>
      </c>
      <c r="Q113" s="1">
        <v>26</v>
      </c>
      <c r="R113" s="1">
        <f t="shared" si="34"/>
        <v>16</v>
      </c>
      <c r="S113" s="25">
        <f t="shared" si="42"/>
        <v>12.041199826559248</v>
      </c>
      <c r="T113" s="1">
        <v>4.9000000000000004</v>
      </c>
      <c r="U113" s="1" t="str">
        <f t="shared" si="40"/>
        <v>N/A</v>
      </c>
      <c r="V113" s="1">
        <f>IF(OR(ISNUMBER(Table1[[#This Row],[TX Pdc (W)]]), ISNUMBER(Table1[[#This Row],[RX Pdc (W)]])),MAX(Table1[[#This Row],[TX Pdc (W)]],Table1[[#This Row],[RX Pdc (W)]])/Table1[[#This Row],[Array Aperture Size (cm2)]],"N/A")</f>
        <v>28.224</v>
      </c>
      <c r="W113" s="1">
        <f>IF(OR(ISNUMBER(Table1[[#This Row],[TX Pdc (W)]]), ISNUMBER(Table1[[#This Row],[RX Pdc (W)]])),MAX(Table1[[#This Row],[TX Pdc (W)]],Table1[[#This Row],[RX Pdc (W)]])/(Table1[[#This Row],['# of Array Tile]]*Table1[[#This Row],['# of IC per Tile]])/(Table1[[#This Row],[Chip Size (mm2)]]*0.01),"N/A")</f>
        <v>33.616212619114584</v>
      </c>
      <c r="X113" s="23"/>
      <c r="Y113" s="1">
        <v>1</v>
      </c>
      <c r="Z113" s="1" t="s">
        <v>223</v>
      </c>
      <c r="AA113" s="1">
        <v>16</v>
      </c>
      <c r="AB113" s="1">
        <v>4</v>
      </c>
      <c r="AC113" s="1" t="s">
        <v>27</v>
      </c>
      <c r="AD113" s="1">
        <v>4</v>
      </c>
      <c r="AE113" s="1"/>
      <c r="AF113" s="1">
        <f>0.625*4/6</f>
        <v>0.41666666666666669</v>
      </c>
      <c r="AG113" s="1">
        <f>0.625*4/6</f>
        <v>0.41666666666666669</v>
      </c>
      <c r="AH113" s="1">
        <f t="shared" si="37"/>
        <v>0.17361111111111113</v>
      </c>
      <c r="AI113" s="1">
        <f t="shared" si="38"/>
        <v>1.0850694444444446</v>
      </c>
      <c r="AJ113" s="1"/>
      <c r="AK113" s="1"/>
      <c r="AL113" s="1">
        <f>(1.76*1.57*Table1[[#This Row],['# of IC per Tile]]+1.98*1.08+1.71*0.81)/Table1[[#This Row],['# of IC per Tile]]</f>
        <v>3.6440750000000004</v>
      </c>
      <c r="AM113" s="1">
        <v>1.45</v>
      </c>
      <c r="AN113" s="1">
        <v>1.35</v>
      </c>
      <c r="AO113" s="1">
        <f t="shared" si="39"/>
        <v>0.97875000000000001</v>
      </c>
      <c r="AP113" s="2"/>
      <c r="AQ113" s="1">
        <v>0</v>
      </c>
      <c r="AR113" s="1"/>
      <c r="AS113" s="1"/>
      <c r="AT113" s="1"/>
      <c r="AU113" s="1"/>
      <c r="AV113" s="1"/>
      <c r="AW113" s="1"/>
      <c r="AX113" s="1" t="s">
        <v>312</v>
      </c>
    </row>
    <row r="114" spans="1:50" x14ac:dyDescent="0.2">
      <c r="A114" s="1" t="s">
        <v>49</v>
      </c>
      <c r="B114" s="1">
        <v>2022</v>
      </c>
      <c r="C114" s="1">
        <v>9</v>
      </c>
      <c r="D114" s="1" t="s">
        <v>127</v>
      </c>
      <c r="E114" s="29" t="s">
        <v>126</v>
      </c>
      <c r="F114" s="1" t="s">
        <v>63</v>
      </c>
      <c r="G114" s="1" t="s">
        <v>17</v>
      </c>
      <c r="H114" s="1">
        <v>55</v>
      </c>
      <c r="I114" s="1">
        <v>150</v>
      </c>
      <c r="J114" s="1">
        <f t="shared" si="41"/>
        <v>16</v>
      </c>
      <c r="K114" s="1">
        <v>2</v>
      </c>
      <c r="L114" s="1">
        <f t="shared" si="35"/>
        <v>0</v>
      </c>
      <c r="M114" s="1">
        <f t="shared" si="36"/>
        <v>16</v>
      </c>
      <c r="N114" s="1"/>
      <c r="O114" s="1">
        <v>1</v>
      </c>
      <c r="P114" s="1" t="s">
        <v>223</v>
      </c>
      <c r="Q114" s="1"/>
      <c r="R114" s="1" t="str">
        <f t="shared" si="34"/>
        <v/>
      </c>
      <c r="S114" s="25" t="str">
        <f t="shared" si="42"/>
        <v>N/A</v>
      </c>
      <c r="T114" s="1" t="str">
        <f t="shared" ref="T114:T128" si="43">IF(AV114="","N/A",AV114*AD114*AB114*Y114/1000)</f>
        <v>N/A</v>
      </c>
      <c r="U114" s="1">
        <v>3.4</v>
      </c>
      <c r="V114" s="1">
        <f>IF(OR(ISNUMBER(Table1[[#This Row],[TX Pdc (W)]]), ISNUMBER(Table1[[#This Row],[RX Pdc (W)]])),MAX(Table1[[#This Row],[TX Pdc (W)]],Table1[[#This Row],[RX Pdc (W)]])/Table1[[#This Row],[Array Aperture Size (cm2)]],"N/A")</f>
        <v>19.583999999999996</v>
      </c>
      <c r="W114" s="1">
        <f>IF(OR(ISNUMBER(Table1[[#This Row],[TX Pdc (W)]]), ISNUMBER(Table1[[#This Row],[RX Pdc (W)]])),MAX(Table1[[#This Row],[TX Pdc (W)]],Table1[[#This Row],[RX Pdc (W)]])/(Table1[[#This Row],['# of Array Tile]]*Table1[[#This Row],['# of IC per Tile]])/(Table1[[#This Row],[Chip Size (mm2)]]*0.01),"N/A")</f>
        <v>23.325535286732567</v>
      </c>
      <c r="X114" s="23"/>
      <c r="Y114" s="1">
        <v>1</v>
      </c>
      <c r="Z114" s="1" t="s">
        <v>223</v>
      </c>
      <c r="AA114" s="1">
        <v>16</v>
      </c>
      <c r="AB114" s="1">
        <v>4</v>
      </c>
      <c r="AC114" s="1" t="s">
        <v>27</v>
      </c>
      <c r="AD114" s="1"/>
      <c r="AE114" s="1">
        <v>4</v>
      </c>
      <c r="AF114" s="1">
        <f>0.625*4/6</f>
        <v>0.41666666666666669</v>
      </c>
      <c r="AG114" s="1">
        <f>0.625*4/6</f>
        <v>0.41666666666666669</v>
      </c>
      <c r="AH114" s="1">
        <f t="shared" si="37"/>
        <v>0.17361111111111113</v>
      </c>
      <c r="AI114" s="1">
        <f t="shared" si="38"/>
        <v>1.0850694444444446</v>
      </c>
      <c r="AJ114" s="1"/>
      <c r="AK114" s="1"/>
      <c r="AL114" s="1">
        <f>(1.76*1.57*Table1[[#This Row],['# of IC per Tile]]+1.98*1.08+1.71*0.81)/Table1[[#This Row],['# of IC per Tile]]</f>
        <v>3.6440750000000004</v>
      </c>
      <c r="AM114" s="1">
        <v>1.42</v>
      </c>
      <c r="AN114" s="1">
        <v>1.3</v>
      </c>
      <c r="AO114" s="1">
        <f t="shared" si="39"/>
        <v>0.92299999999999993</v>
      </c>
      <c r="AP114" s="2"/>
      <c r="AQ114" s="1"/>
      <c r="AR114" s="1"/>
      <c r="AS114" s="1"/>
      <c r="AT114" s="1">
        <v>15.6</v>
      </c>
      <c r="AU114" s="1"/>
      <c r="AV114" s="1"/>
      <c r="AW114" s="1"/>
      <c r="AX114" s="1" t="s">
        <v>313</v>
      </c>
    </row>
    <row r="115" spans="1:50" x14ac:dyDescent="0.2">
      <c r="A115" s="1" t="s">
        <v>49</v>
      </c>
      <c r="B115" s="1">
        <v>2022</v>
      </c>
      <c r="C115" s="1">
        <v>9</v>
      </c>
      <c r="D115" s="1" t="s">
        <v>129</v>
      </c>
      <c r="E115" s="29" t="s">
        <v>128</v>
      </c>
      <c r="F115" s="1" t="s">
        <v>77</v>
      </c>
      <c r="G115" s="1" t="s">
        <v>20</v>
      </c>
      <c r="H115" s="1">
        <v>40</v>
      </c>
      <c r="I115" s="1">
        <v>28</v>
      </c>
      <c r="J115" s="1">
        <f t="shared" si="41"/>
        <v>8</v>
      </c>
      <c r="K115" s="1">
        <v>2</v>
      </c>
      <c r="L115" s="1">
        <f t="shared" si="35"/>
        <v>4</v>
      </c>
      <c r="M115" s="1">
        <f t="shared" si="36"/>
        <v>4</v>
      </c>
      <c r="N115" s="1">
        <v>1</v>
      </c>
      <c r="O115" s="1">
        <v>1</v>
      </c>
      <c r="P115" s="1" t="s">
        <v>222</v>
      </c>
      <c r="Q115" s="1"/>
      <c r="R115" s="1" t="str">
        <f t="shared" si="34"/>
        <v/>
      </c>
      <c r="S115" s="25">
        <f t="shared" si="42"/>
        <v>21.700599913279625</v>
      </c>
      <c r="T115" s="1">
        <f t="shared" si="43"/>
        <v>0.57199999999999995</v>
      </c>
      <c r="U115" s="1">
        <f t="shared" ref="U115:U128" si="44">IF(AW115="","N/A",AW115*AE115*AB115*Y115/1000)</f>
        <v>0.22440000000000002</v>
      </c>
      <c r="V115" s="1" t="e">
        <f>IF(OR(ISNUMBER(Table1[[#This Row],[TX Pdc (W)]]), ISNUMBER(Table1[[#This Row],[RX Pdc (W)]])),MAX(Table1[[#This Row],[TX Pdc (W)]],Table1[[#This Row],[RX Pdc (W)]])/Table1[[#This Row],[Array Aperture Size (cm2)]],"N/A")</f>
        <v>#VALUE!</v>
      </c>
      <c r="W115" s="1">
        <f>IF(OR(ISNUMBER(Table1[[#This Row],[TX Pdc (W)]]), ISNUMBER(Table1[[#This Row],[RX Pdc (W)]])),MAX(Table1[[#This Row],[TX Pdc (W)]],Table1[[#This Row],[RX Pdc (W)]])/(Table1[[#This Row],['# of Array Tile]]*Table1[[#This Row],['# of IC per Tile]])/(Table1[[#This Row],[Chip Size (mm2)]]*0.01),"N/A")</f>
        <v>13.374485596707817</v>
      </c>
      <c r="X115" s="23"/>
      <c r="Y115" s="1">
        <v>1</v>
      </c>
      <c r="Z115" s="1" t="s">
        <v>27</v>
      </c>
      <c r="AA115" s="1" t="s">
        <v>27</v>
      </c>
      <c r="AB115" s="1">
        <v>1</v>
      </c>
      <c r="AC115" s="1" t="s">
        <v>309</v>
      </c>
      <c r="AD115" s="1">
        <v>4</v>
      </c>
      <c r="AE115" s="1">
        <v>4</v>
      </c>
      <c r="AF115" s="1" t="s">
        <v>27</v>
      </c>
      <c r="AG115" s="1" t="s">
        <v>27</v>
      </c>
      <c r="AH115" s="1" t="e">
        <f t="shared" si="37"/>
        <v>#VALUE!</v>
      </c>
      <c r="AI115" s="1" t="e">
        <f t="shared" si="38"/>
        <v>#VALUE!</v>
      </c>
      <c r="AJ115" s="1">
        <v>2.97</v>
      </c>
      <c r="AK115" s="1">
        <v>1.44</v>
      </c>
      <c r="AL115" s="1">
        <f>Table1[[#This Row],[Chip Size -X (mm)]]*Table1[[#This Row],[Chip Size - Y (mm)]]</f>
        <v>4.2767999999999997</v>
      </c>
      <c r="AM115" s="1">
        <v>2.73</v>
      </c>
      <c r="AN115" s="1">
        <v>1.1499999999999999</v>
      </c>
      <c r="AO115" s="1">
        <f t="shared" si="39"/>
        <v>0.78487499999999999</v>
      </c>
      <c r="AP115" s="2"/>
      <c r="AQ115" s="1">
        <v>15.68</v>
      </c>
      <c r="AR115" s="1">
        <v>25.2</v>
      </c>
      <c r="AS115" s="1">
        <v>44.6</v>
      </c>
      <c r="AT115" s="1">
        <v>4.54</v>
      </c>
      <c r="AU115" s="1">
        <v>26.3</v>
      </c>
      <c r="AV115" s="1">
        <v>143</v>
      </c>
      <c r="AW115" s="1">
        <v>56.1</v>
      </c>
      <c r="AX115" s="1"/>
    </row>
    <row r="116" spans="1:50" x14ac:dyDescent="0.2">
      <c r="A116" s="1" t="s">
        <v>49</v>
      </c>
      <c r="B116" s="1">
        <v>2022</v>
      </c>
      <c r="C116" s="1">
        <v>10</v>
      </c>
      <c r="D116" s="1" t="s">
        <v>69</v>
      </c>
      <c r="E116" s="29" t="s">
        <v>132</v>
      </c>
      <c r="F116" s="1" t="s">
        <v>63</v>
      </c>
      <c r="G116" s="1" t="s">
        <v>20</v>
      </c>
      <c r="H116" s="1">
        <v>65</v>
      </c>
      <c r="I116" s="1">
        <v>18</v>
      </c>
      <c r="J116" s="1">
        <f t="shared" si="41"/>
        <v>8</v>
      </c>
      <c r="K116" s="1">
        <v>2</v>
      </c>
      <c r="L116" s="1">
        <f t="shared" si="35"/>
        <v>0</v>
      </c>
      <c r="M116" s="1">
        <f t="shared" si="36"/>
        <v>8</v>
      </c>
      <c r="N116" s="1"/>
      <c r="O116" s="1">
        <v>1</v>
      </c>
      <c r="P116" s="1" t="s">
        <v>222</v>
      </c>
      <c r="Q116" s="1"/>
      <c r="R116" s="1" t="str">
        <f t="shared" si="34"/>
        <v/>
      </c>
      <c r="S116" s="25" t="str">
        <f t="shared" si="42"/>
        <v>N/A</v>
      </c>
      <c r="T116" s="1" t="str">
        <f t="shared" si="43"/>
        <v>N/A</v>
      </c>
      <c r="U116" s="1">
        <f t="shared" si="44"/>
        <v>0.29760000000000003</v>
      </c>
      <c r="V116" s="1" t="e">
        <f>IF(OR(ISNUMBER(Table1[[#This Row],[TX Pdc (W)]]), ISNUMBER(Table1[[#This Row],[RX Pdc (W)]])),MAX(Table1[[#This Row],[TX Pdc (W)]],Table1[[#This Row],[RX Pdc (W)]])/Table1[[#This Row],[Array Aperture Size (cm2)]],"N/A")</f>
        <v>#VALUE!</v>
      </c>
      <c r="W116" s="1">
        <f>IF(OR(ISNUMBER(Table1[[#This Row],[TX Pdc (W)]]), ISNUMBER(Table1[[#This Row],[RX Pdc (W)]])),MAX(Table1[[#This Row],[TX Pdc (W)]],Table1[[#This Row],[RX Pdc (W)]])/(Table1[[#This Row],['# of Array Tile]]*Table1[[#This Row],['# of IC per Tile]])/(Table1[[#This Row],[Chip Size (mm2)]]*0.01),"N/A")</f>
        <v>2.3104693140794224</v>
      </c>
      <c r="X116" s="23"/>
      <c r="Y116" s="1">
        <v>1</v>
      </c>
      <c r="Z116" s="1" t="s">
        <v>27</v>
      </c>
      <c r="AA116" s="1" t="s">
        <v>27</v>
      </c>
      <c r="AB116" s="1">
        <v>1</v>
      </c>
      <c r="AC116" s="1" t="s">
        <v>27</v>
      </c>
      <c r="AD116" s="1"/>
      <c r="AE116" s="1">
        <v>8</v>
      </c>
      <c r="AF116" s="1" t="s">
        <v>27</v>
      </c>
      <c r="AG116" s="1" t="s">
        <v>27</v>
      </c>
      <c r="AH116" s="1" t="e">
        <f t="shared" si="37"/>
        <v>#VALUE!</v>
      </c>
      <c r="AI116" s="1" t="e">
        <f t="shared" si="38"/>
        <v>#VALUE!</v>
      </c>
      <c r="AJ116" s="1">
        <v>4.6500000000000004</v>
      </c>
      <c r="AK116" s="1">
        <v>2.77</v>
      </c>
      <c r="AL116" s="1">
        <f>Table1[[#This Row],[Chip Size -X (mm)]]*Table1[[#This Row],[Chip Size - Y (mm)]]</f>
        <v>12.880500000000001</v>
      </c>
      <c r="AM116" s="1">
        <v>4.38</v>
      </c>
      <c r="AN116" s="1">
        <v>2.46</v>
      </c>
      <c r="AO116" s="1">
        <f t="shared" si="39"/>
        <v>2.6936999999999998</v>
      </c>
      <c r="AP116" s="2"/>
      <c r="AQ116" s="1"/>
      <c r="AR116" s="1"/>
      <c r="AS116" s="1"/>
      <c r="AT116" s="1">
        <v>3.8</v>
      </c>
      <c r="AU116" s="1">
        <v>28</v>
      </c>
      <c r="AV116" s="1"/>
      <c r="AW116" s="1">
        <v>37.200000000000003</v>
      </c>
      <c r="AX116" s="1"/>
    </row>
    <row r="117" spans="1:50" x14ac:dyDescent="0.2">
      <c r="A117" s="1" t="s">
        <v>68</v>
      </c>
      <c r="B117" s="1">
        <v>2022</v>
      </c>
      <c r="C117" s="1">
        <v>10</v>
      </c>
      <c r="D117" s="1" t="s">
        <v>102</v>
      </c>
      <c r="E117" s="29" t="s">
        <v>124</v>
      </c>
      <c r="F117" s="1" t="s">
        <v>41</v>
      </c>
      <c r="G117" s="1" t="s">
        <v>51</v>
      </c>
      <c r="H117" s="1">
        <v>45</v>
      </c>
      <c r="I117" s="1">
        <v>28.7</v>
      </c>
      <c r="J117" s="1">
        <f t="shared" si="41"/>
        <v>4</v>
      </c>
      <c r="K117" s="1">
        <v>1</v>
      </c>
      <c r="L117" s="1">
        <f t="shared" si="35"/>
        <v>4</v>
      </c>
      <c r="M117" s="1">
        <f t="shared" si="36"/>
        <v>0</v>
      </c>
      <c r="N117" s="1">
        <v>1</v>
      </c>
      <c r="O117" s="1"/>
      <c r="P117" s="1" t="s">
        <v>223</v>
      </c>
      <c r="Q117" s="1"/>
      <c r="R117" s="1" t="str">
        <f t="shared" si="34"/>
        <v/>
      </c>
      <c r="S117" s="25" t="str">
        <f t="shared" si="42"/>
        <v>N/A</v>
      </c>
      <c r="T117" s="1" t="str">
        <f t="shared" si="43"/>
        <v>N/A</v>
      </c>
      <c r="U117" s="1" t="str">
        <f t="shared" si="44"/>
        <v>N/A</v>
      </c>
      <c r="V117" s="1" t="str">
        <f>IF(OR(ISNUMBER(Table1[[#This Row],[TX Pdc (W)]]), ISNUMBER(Table1[[#This Row],[RX Pdc (W)]])),MAX(Table1[[#This Row],[TX Pdc (W)]],Table1[[#This Row],[RX Pdc (W)]])/Table1[[#This Row],[Array Aperture Size (cm2)]],"N/A")</f>
        <v>N/A</v>
      </c>
      <c r="W117" s="1" t="str">
        <f>IF(OR(ISNUMBER(Table1[[#This Row],[TX Pdc (W)]]), ISNUMBER(Table1[[#This Row],[RX Pdc (W)]])),MAX(Table1[[#This Row],[TX Pdc (W)]],Table1[[#This Row],[RX Pdc (W)]])/(Table1[[#This Row],['# of Array Tile]]*Table1[[#This Row],['# of IC per Tile]])/(Table1[[#This Row],[Chip Size (mm2)]]*0.01),"N/A")</f>
        <v>N/A</v>
      </c>
      <c r="X117" s="23"/>
      <c r="Y117" s="1">
        <v>1</v>
      </c>
      <c r="Z117" s="1" t="s">
        <v>223</v>
      </c>
      <c r="AA117" s="1">
        <v>4</v>
      </c>
      <c r="AB117" s="1">
        <v>1</v>
      </c>
      <c r="AC117" s="1" t="s">
        <v>27</v>
      </c>
      <c r="AD117" s="1">
        <v>4</v>
      </c>
      <c r="AE117" s="1"/>
      <c r="AF117" s="1" t="s">
        <v>27</v>
      </c>
      <c r="AG117" s="1" t="s">
        <v>27</v>
      </c>
      <c r="AH117" s="1" t="e">
        <f t="shared" si="37"/>
        <v>#VALUE!</v>
      </c>
      <c r="AI117" s="1" t="e">
        <f t="shared" si="38"/>
        <v>#VALUE!</v>
      </c>
      <c r="AJ117" s="1">
        <v>3.78</v>
      </c>
      <c r="AK117" s="1">
        <v>3.93</v>
      </c>
      <c r="AL117" s="1">
        <f>Table1[[#This Row],[Chip Size -X (mm)]]*Table1[[#This Row],[Chip Size - Y (mm)]]</f>
        <v>14.855399999999999</v>
      </c>
      <c r="AM117" s="1">
        <v>3.21</v>
      </c>
      <c r="AN117" s="1">
        <v>3.33</v>
      </c>
      <c r="AO117" s="1">
        <f t="shared" si="39"/>
        <v>5.3446499999999997</v>
      </c>
      <c r="AP117" s="2"/>
      <c r="AQ117" s="1"/>
      <c r="AR117" s="1"/>
      <c r="AS117" s="1"/>
      <c r="AT117" s="1"/>
      <c r="AU117" s="1"/>
      <c r="AV117" s="1"/>
      <c r="AW117" s="1"/>
      <c r="AX117" s="1"/>
    </row>
    <row r="118" spans="1:50" x14ac:dyDescent="0.2">
      <c r="A118" s="1" t="s">
        <v>68</v>
      </c>
      <c r="B118" s="1">
        <v>2022</v>
      </c>
      <c r="C118" s="1">
        <v>10</v>
      </c>
      <c r="D118" s="1" t="s">
        <v>131</v>
      </c>
      <c r="E118" s="29" t="s">
        <v>130</v>
      </c>
      <c r="F118" s="1" t="s">
        <v>33</v>
      </c>
      <c r="G118" s="1" t="s">
        <v>20</v>
      </c>
      <c r="H118" s="1">
        <v>65</v>
      </c>
      <c r="I118" s="1">
        <v>28</v>
      </c>
      <c r="J118" s="1">
        <f t="shared" si="41"/>
        <v>2</v>
      </c>
      <c r="K118" s="1">
        <v>1</v>
      </c>
      <c r="L118" s="1">
        <f t="shared" si="35"/>
        <v>0</v>
      </c>
      <c r="M118" s="1">
        <f t="shared" si="36"/>
        <v>2</v>
      </c>
      <c r="N118" s="1"/>
      <c r="O118" s="1">
        <v>1</v>
      </c>
      <c r="P118" s="1" t="s">
        <v>222</v>
      </c>
      <c r="Q118" s="1"/>
      <c r="R118" s="1" t="str">
        <f t="shared" si="34"/>
        <v/>
      </c>
      <c r="S118" s="25" t="str">
        <f t="shared" si="42"/>
        <v>N/A</v>
      </c>
      <c r="T118" s="1" t="str">
        <f t="shared" si="43"/>
        <v>N/A</v>
      </c>
      <c r="U118" s="1">
        <f t="shared" si="44"/>
        <v>7.1999999999999995E-2</v>
      </c>
      <c r="V118" s="1" t="e">
        <f>IF(OR(ISNUMBER(Table1[[#This Row],[TX Pdc (W)]]), ISNUMBER(Table1[[#This Row],[RX Pdc (W)]])),MAX(Table1[[#This Row],[TX Pdc (W)]],Table1[[#This Row],[RX Pdc (W)]])/Table1[[#This Row],[Array Aperture Size (cm2)]],"N/A")</f>
        <v>#VALUE!</v>
      </c>
      <c r="W118" s="1">
        <f>IF(OR(ISNUMBER(Table1[[#This Row],[TX Pdc (W)]]), ISNUMBER(Table1[[#This Row],[RX Pdc (W)]])),MAX(Table1[[#This Row],[TX Pdc (W)]],Table1[[#This Row],[RX Pdc (W)]])/(Table1[[#This Row],['# of Array Tile]]*Table1[[#This Row],['# of IC per Tile]])/(Table1[[#This Row],[Chip Size (mm2)]]*0.01),"N/A")</f>
        <v>1.607142857142857</v>
      </c>
      <c r="X118" s="23"/>
      <c r="Y118" s="1">
        <v>1</v>
      </c>
      <c r="Z118" s="1" t="s">
        <v>27</v>
      </c>
      <c r="AA118" s="1" t="s">
        <v>27</v>
      </c>
      <c r="AB118" s="1">
        <v>1</v>
      </c>
      <c r="AC118" s="1" t="s">
        <v>27</v>
      </c>
      <c r="AD118" s="1"/>
      <c r="AE118" s="1">
        <v>2</v>
      </c>
      <c r="AF118" s="1" t="s">
        <v>27</v>
      </c>
      <c r="AG118" s="1" t="s">
        <v>27</v>
      </c>
      <c r="AH118" s="1" t="e">
        <f t="shared" si="37"/>
        <v>#VALUE!</v>
      </c>
      <c r="AI118" s="1" t="e">
        <f t="shared" si="38"/>
        <v>#VALUE!</v>
      </c>
      <c r="AJ118" s="1">
        <v>3.2</v>
      </c>
      <c r="AK118" s="1">
        <v>1.4</v>
      </c>
      <c r="AL118" s="1">
        <f>Table1[[#This Row],[Chip Size -X (mm)]]*Table1[[#This Row],[Chip Size - Y (mm)]]</f>
        <v>4.4799999999999995</v>
      </c>
      <c r="AM118" s="1">
        <v>2.7</v>
      </c>
      <c r="AN118" s="1">
        <v>1.4</v>
      </c>
      <c r="AO118" s="1">
        <f t="shared" si="39"/>
        <v>3.78</v>
      </c>
      <c r="AP118" s="2"/>
      <c r="AQ118" s="1"/>
      <c r="AR118" s="1"/>
      <c r="AS118" s="1"/>
      <c r="AT118" s="1">
        <v>5</v>
      </c>
      <c r="AU118" s="1">
        <v>20</v>
      </c>
      <c r="AV118" s="1"/>
      <c r="AW118" s="1">
        <v>36</v>
      </c>
      <c r="AX118" s="1"/>
    </row>
    <row r="119" spans="1:50" x14ac:dyDescent="0.2">
      <c r="A119" s="1" t="s">
        <v>68</v>
      </c>
      <c r="B119" s="1">
        <v>2022</v>
      </c>
      <c r="C119" s="1">
        <v>10</v>
      </c>
      <c r="D119" s="1" t="s">
        <v>131</v>
      </c>
      <c r="E119" s="29" t="s">
        <v>130</v>
      </c>
      <c r="F119" s="1" t="s">
        <v>33</v>
      </c>
      <c r="G119" s="1" t="s">
        <v>20</v>
      </c>
      <c r="H119" s="1">
        <v>65</v>
      </c>
      <c r="I119" s="1">
        <v>39</v>
      </c>
      <c r="J119" s="1">
        <f t="shared" si="41"/>
        <v>2</v>
      </c>
      <c r="K119" s="1">
        <v>1</v>
      </c>
      <c r="L119" s="1">
        <f t="shared" si="35"/>
        <v>0</v>
      </c>
      <c r="M119" s="1">
        <f t="shared" si="36"/>
        <v>2</v>
      </c>
      <c r="N119" s="1"/>
      <c r="O119" s="1">
        <v>1</v>
      </c>
      <c r="P119" s="1" t="s">
        <v>222</v>
      </c>
      <c r="Q119" s="1"/>
      <c r="R119" s="1" t="str">
        <f t="shared" si="34"/>
        <v/>
      </c>
      <c r="S119" s="25" t="str">
        <f t="shared" si="42"/>
        <v>N/A</v>
      </c>
      <c r="T119" s="1" t="str">
        <f t="shared" si="43"/>
        <v>N/A</v>
      </c>
      <c r="U119" s="1">
        <f t="shared" si="44"/>
        <v>6.4000000000000001E-2</v>
      </c>
      <c r="V119" s="1" t="e">
        <f>IF(OR(ISNUMBER(Table1[[#This Row],[TX Pdc (W)]]), ISNUMBER(Table1[[#This Row],[RX Pdc (W)]])),MAX(Table1[[#This Row],[TX Pdc (W)]],Table1[[#This Row],[RX Pdc (W)]])/Table1[[#This Row],[Array Aperture Size (cm2)]],"N/A")</f>
        <v>#VALUE!</v>
      </c>
      <c r="W119" s="1">
        <f>IF(OR(ISNUMBER(Table1[[#This Row],[TX Pdc (W)]]), ISNUMBER(Table1[[#This Row],[RX Pdc (W)]])),MAX(Table1[[#This Row],[TX Pdc (W)]],Table1[[#This Row],[RX Pdc (W)]])/(Table1[[#This Row],['# of Array Tile]]*Table1[[#This Row],['# of IC per Tile]])/(Table1[[#This Row],[Chip Size (mm2)]]*0.01),"N/A")</f>
        <v>1.4285714285714286</v>
      </c>
      <c r="X119" s="23"/>
      <c r="Y119" s="1">
        <v>1</v>
      </c>
      <c r="Z119" s="1" t="s">
        <v>27</v>
      </c>
      <c r="AA119" s="1" t="s">
        <v>27</v>
      </c>
      <c r="AB119" s="1">
        <v>1</v>
      </c>
      <c r="AC119" s="1" t="s">
        <v>27</v>
      </c>
      <c r="AD119" s="1"/>
      <c r="AE119" s="1">
        <v>2</v>
      </c>
      <c r="AF119" s="1" t="s">
        <v>27</v>
      </c>
      <c r="AG119" s="1" t="s">
        <v>27</v>
      </c>
      <c r="AH119" s="1" t="e">
        <f t="shared" si="37"/>
        <v>#VALUE!</v>
      </c>
      <c r="AI119" s="1" t="e">
        <f t="shared" si="38"/>
        <v>#VALUE!</v>
      </c>
      <c r="AJ119" s="1">
        <v>3.2</v>
      </c>
      <c r="AK119" s="1">
        <v>1.4</v>
      </c>
      <c r="AL119" s="1">
        <f>Table1[[#This Row],[Chip Size -X (mm)]]*Table1[[#This Row],[Chip Size - Y (mm)]]</f>
        <v>4.4799999999999995</v>
      </c>
      <c r="AM119" s="1">
        <v>2.7</v>
      </c>
      <c r="AN119" s="1">
        <v>1.4</v>
      </c>
      <c r="AO119" s="1">
        <f t="shared" si="39"/>
        <v>3.78</v>
      </c>
      <c r="AP119" s="2"/>
      <c r="AQ119" s="1"/>
      <c r="AR119" s="1"/>
      <c r="AS119" s="1"/>
      <c r="AT119" s="1">
        <v>6.5</v>
      </c>
      <c r="AU119" s="1">
        <v>20</v>
      </c>
      <c r="AV119" s="1"/>
      <c r="AW119" s="1">
        <v>32</v>
      </c>
      <c r="AX119" s="1"/>
    </row>
    <row r="120" spans="1:50" x14ac:dyDescent="0.2">
      <c r="A120" s="1" t="s">
        <v>68</v>
      </c>
      <c r="B120" s="1">
        <v>2022</v>
      </c>
      <c r="C120" s="1">
        <v>10</v>
      </c>
      <c r="D120" s="1" t="s">
        <v>131</v>
      </c>
      <c r="E120" s="29" t="s">
        <v>130</v>
      </c>
      <c r="F120" s="1" t="s">
        <v>33</v>
      </c>
      <c r="G120" s="1" t="s">
        <v>20</v>
      </c>
      <c r="H120" s="1">
        <v>65</v>
      </c>
      <c r="I120" s="1">
        <v>47.2</v>
      </c>
      <c r="J120" s="1">
        <f t="shared" si="41"/>
        <v>2</v>
      </c>
      <c r="K120" s="1">
        <v>1</v>
      </c>
      <c r="L120" s="1">
        <f t="shared" si="35"/>
        <v>0</v>
      </c>
      <c r="M120" s="1">
        <f t="shared" si="36"/>
        <v>2</v>
      </c>
      <c r="N120" s="1"/>
      <c r="O120" s="1">
        <v>1</v>
      </c>
      <c r="P120" s="1" t="s">
        <v>222</v>
      </c>
      <c r="Q120" s="1"/>
      <c r="R120" s="1" t="str">
        <f t="shared" si="34"/>
        <v/>
      </c>
      <c r="S120" s="25" t="str">
        <f t="shared" si="42"/>
        <v>N/A</v>
      </c>
      <c r="T120" s="1" t="str">
        <f t="shared" si="43"/>
        <v>N/A</v>
      </c>
      <c r="U120" s="1">
        <f t="shared" si="44"/>
        <v>0.10199999999999999</v>
      </c>
      <c r="V120" s="1" t="e">
        <f>IF(OR(ISNUMBER(Table1[[#This Row],[TX Pdc (W)]]), ISNUMBER(Table1[[#This Row],[RX Pdc (W)]])),MAX(Table1[[#This Row],[TX Pdc (W)]],Table1[[#This Row],[RX Pdc (W)]])/Table1[[#This Row],[Array Aperture Size (cm2)]],"N/A")</f>
        <v>#VALUE!</v>
      </c>
      <c r="W120" s="1">
        <f>IF(OR(ISNUMBER(Table1[[#This Row],[TX Pdc (W)]]), ISNUMBER(Table1[[#This Row],[RX Pdc (W)]])),MAX(Table1[[#This Row],[TX Pdc (W)]],Table1[[#This Row],[RX Pdc (W)]])/(Table1[[#This Row],['# of Array Tile]]*Table1[[#This Row],['# of IC per Tile]])/(Table1[[#This Row],[Chip Size (mm2)]]*0.01),"N/A")</f>
        <v>2.276785714285714</v>
      </c>
      <c r="X120" s="23"/>
      <c r="Y120" s="1">
        <v>1</v>
      </c>
      <c r="Z120" s="1" t="s">
        <v>27</v>
      </c>
      <c r="AA120" s="1" t="s">
        <v>27</v>
      </c>
      <c r="AB120" s="1">
        <v>1</v>
      </c>
      <c r="AC120" s="1" t="s">
        <v>27</v>
      </c>
      <c r="AD120" s="1"/>
      <c r="AE120" s="1">
        <v>2</v>
      </c>
      <c r="AF120" s="1" t="s">
        <v>27</v>
      </c>
      <c r="AG120" s="1" t="s">
        <v>27</v>
      </c>
      <c r="AH120" s="1" t="e">
        <f t="shared" si="37"/>
        <v>#VALUE!</v>
      </c>
      <c r="AI120" s="1" t="e">
        <f t="shared" si="38"/>
        <v>#VALUE!</v>
      </c>
      <c r="AJ120" s="1">
        <v>3.2</v>
      </c>
      <c r="AK120" s="1">
        <v>1.4</v>
      </c>
      <c r="AL120" s="1">
        <f>Table1[[#This Row],[Chip Size -X (mm)]]*Table1[[#This Row],[Chip Size - Y (mm)]]</f>
        <v>4.4799999999999995</v>
      </c>
      <c r="AM120" s="1">
        <v>2.7</v>
      </c>
      <c r="AN120" s="1">
        <v>1.4</v>
      </c>
      <c r="AO120" s="1">
        <f t="shared" si="39"/>
        <v>3.78</v>
      </c>
      <c r="AP120" s="2"/>
      <c r="AQ120" s="1"/>
      <c r="AR120" s="1"/>
      <c r="AS120" s="1"/>
      <c r="AT120" s="1">
        <v>5</v>
      </c>
      <c r="AU120" s="1">
        <v>19</v>
      </c>
      <c r="AV120" s="1"/>
      <c r="AW120" s="1">
        <v>51</v>
      </c>
      <c r="AX120" s="1"/>
    </row>
    <row r="121" spans="1:50" x14ac:dyDescent="0.2">
      <c r="A121" s="1" t="s">
        <v>68</v>
      </c>
      <c r="B121" s="1">
        <v>2022</v>
      </c>
      <c r="C121" s="1">
        <v>10</v>
      </c>
      <c r="D121" s="1" t="s">
        <v>131</v>
      </c>
      <c r="E121" s="29" t="s">
        <v>130</v>
      </c>
      <c r="F121" s="1" t="s">
        <v>33</v>
      </c>
      <c r="G121" s="1" t="s">
        <v>20</v>
      </c>
      <c r="H121" s="1">
        <v>65</v>
      </c>
      <c r="I121" s="1">
        <v>60.1</v>
      </c>
      <c r="J121" s="1">
        <f t="shared" si="41"/>
        <v>2</v>
      </c>
      <c r="K121" s="1">
        <v>1</v>
      </c>
      <c r="L121" s="1">
        <f t="shared" si="35"/>
        <v>0</v>
      </c>
      <c r="M121" s="1">
        <f t="shared" si="36"/>
        <v>2</v>
      </c>
      <c r="N121" s="1"/>
      <c r="O121" s="1">
        <v>1</v>
      </c>
      <c r="P121" s="1" t="s">
        <v>222</v>
      </c>
      <c r="Q121" s="1"/>
      <c r="R121" s="1" t="str">
        <f t="shared" si="34"/>
        <v/>
      </c>
      <c r="S121" s="25" t="str">
        <f t="shared" si="42"/>
        <v>N/A</v>
      </c>
      <c r="T121" s="1" t="str">
        <f t="shared" si="43"/>
        <v>N/A</v>
      </c>
      <c r="U121" s="1">
        <f t="shared" si="44"/>
        <v>0.14199999999999999</v>
      </c>
      <c r="V121" s="1" t="e">
        <f>IF(OR(ISNUMBER(Table1[[#This Row],[TX Pdc (W)]]), ISNUMBER(Table1[[#This Row],[RX Pdc (W)]])),MAX(Table1[[#This Row],[TX Pdc (W)]],Table1[[#This Row],[RX Pdc (W)]])/Table1[[#This Row],[Array Aperture Size (cm2)]],"N/A")</f>
        <v>#VALUE!</v>
      </c>
      <c r="W121" s="1">
        <f>IF(OR(ISNUMBER(Table1[[#This Row],[TX Pdc (W)]]), ISNUMBER(Table1[[#This Row],[RX Pdc (W)]])),MAX(Table1[[#This Row],[TX Pdc (W)]],Table1[[#This Row],[RX Pdc (W)]])/(Table1[[#This Row],['# of Array Tile]]*Table1[[#This Row],['# of IC per Tile]])/(Table1[[#This Row],[Chip Size (mm2)]]*0.01),"N/A")</f>
        <v>3.1696428571428568</v>
      </c>
      <c r="X121" s="23"/>
      <c r="Y121" s="1">
        <v>1</v>
      </c>
      <c r="Z121" s="1" t="s">
        <v>27</v>
      </c>
      <c r="AA121" s="1" t="s">
        <v>27</v>
      </c>
      <c r="AB121" s="1">
        <v>1</v>
      </c>
      <c r="AC121" s="1" t="s">
        <v>27</v>
      </c>
      <c r="AD121" s="1"/>
      <c r="AE121" s="1">
        <v>2</v>
      </c>
      <c r="AF121" s="1" t="s">
        <v>27</v>
      </c>
      <c r="AG121" s="1" t="s">
        <v>27</v>
      </c>
      <c r="AH121" s="1" t="e">
        <f t="shared" si="37"/>
        <v>#VALUE!</v>
      </c>
      <c r="AI121" s="1" t="e">
        <f t="shared" si="38"/>
        <v>#VALUE!</v>
      </c>
      <c r="AJ121" s="1">
        <v>3.2</v>
      </c>
      <c r="AK121" s="1">
        <v>1.4</v>
      </c>
      <c r="AL121" s="1">
        <f>Table1[[#This Row],[Chip Size -X (mm)]]*Table1[[#This Row],[Chip Size - Y (mm)]]</f>
        <v>4.4799999999999995</v>
      </c>
      <c r="AM121" s="1">
        <v>2.7</v>
      </c>
      <c r="AN121" s="1">
        <v>1.4</v>
      </c>
      <c r="AO121" s="1">
        <f t="shared" si="39"/>
        <v>3.78</v>
      </c>
      <c r="AP121" s="2"/>
      <c r="AQ121" s="1"/>
      <c r="AR121" s="1"/>
      <c r="AS121" s="1"/>
      <c r="AT121" s="1">
        <v>6</v>
      </c>
      <c r="AU121" s="1">
        <v>17</v>
      </c>
      <c r="AV121" s="1"/>
      <c r="AW121" s="1">
        <v>71</v>
      </c>
      <c r="AX121" s="1"/>
    </row>
    <row r="122" spans="1:50" x14ac:dyDescent="0.2">
      <c r="A122" s="1" t="s">
        <v>68</v>
      </c>
      <c r="B122" s="1">
        <v>2022</v>
      </c>
      <c r="C122" s="1">
        <v>11</v>
      </c>
      <c r="D122" s="1" t="s">
        <v>136</v>
      </c>
      <c r="E122" s="29" t="s">
        <v>135</v>
      </c>
      <c r="F122" s="1" t="s">
        <v>33</v>
      </c>
      <c r="G122" s="1" t="s">
        <v>20</v>
      </c>
      <c r="H122" s="1">
        <v>40</v>
      </c>
      <c r="I122" s="1">
        <v>28</v>
      </c>
      <c r="J122" s="1">
        <f t="shared" si="41"/>
        <v>4</v>
      </c>
      <c r="K122" s="1">
        <v>1</v>
      </c>
      <c r="L122" s="1">
        <f t="shared" si="35"/>
        <v>0</v>
      </c>
      <c r="M122" s="1">
        <f t="shared" si="36"/>
        <v>4</v>
      </c>
      <c r="N122" s="1"/>
      <c r="O122" s="1">
        <v>1</v>
      </c>
      <c r="P122" s="1" t="s">
        <v>223</v>
      </c>
      <c r="Q122" s="1"/>
      <c r="R122" s="1" t="str">
        <f t="shared" si="34"/>
        <v/>
      </c>
      <c r="S122" s="25" t="str">
        <f t="shared" si="42"/>
        <v>N/A</v>
      </c>
      <c r="T122" s="1" t="str">
        <f t="shared" si="43"/>
        <v>N/A</v>
      </c>
      <c r="U122" s="1">
        <f t="shared" si="44"/>
        <v>0.20799999999999999</v>
      </c>
      <c r="V122" s="1" t="e">
        <f>IF(OR(ISNUMBER(Table1[[#This Row],[TX Pdc (W)]]), ISNUMBER(Table1[[#This Row],[RX Pdc (W)]])),MAX(Table1[[#This Row],[TX Pdc (W)]],Table1[[#This Row],[RX Pdc (W)]])/Table1[[#This Row],[Array Aperture Size (cm2)]],"N/A")</f>
        <v>#VALUE!</v>
      </c>
      <c r="W122" s="1">
        <f>IF(OR(ISNUMBER(Table1[[#This Row],[TX Pdc (W)]]), ISNUMBER(Table1[[#This Row],[RX Pdc (W)]])),MAX(Table1[[#This Row],[TX Pdc (W)]],Table1[[#This Row],[RX Pdc (W)]])/(Table1[[#This Row],['# of Array Tile]]*Table1[[#This Row],['# of IC per Tile]])/(Table1[[#This Row],[Chip Size (mm2)]]*0.01),"N/A")</f>
        <v>7.2727272727272716</v>
      </c>
      <c r="X122" s="23"/>
      <c r="Y122" s="1">
        <v>1</v>
      </c>
      <c r="Z122" s="1" t="s">
        <v>223</v>
      </c>
      <c r="AA122" s="1">
        <v>4</v>
      </c>
      <c r="AB122" s="1">
        <v>1</v>
      </c>
      <c r="AC122" s="1" t="s">
        <v>27</v>
      </c>
      <c r="AD122" s="1"/>
      <c r="AE122" s="1">
        <v>4</v>
      </c>
      <c r="AF122" s="1" t="s">
        <v>27</v>
      </c>
      <c r="AG122" s="1" t="s">
        <v>27</v>
      </c>
      <c r="AH122" s="1" t="e">
        <f t="shared" si="37"/>
        <v>#VALUE!</v>
      </c>
      <c r="AI122" s="1" t="e">
        <f t="shared" si="38"/>
        <v>#VALUE!</v>
      </c>
      <c r="AJ122" s="1">
        <v>2.2000000000000002</v>
      </c>
      <c r="AK122" s="1">
        <v>1.3</v>
      </c>
      <c r="AL122" s="1">
        <f>Table1[[#This Row],[Chip Size -X (mm)]]*Table1[[#This Row],[Chip Size - Y (mm)]]</f>
        <v>2.8600000000000003</v>
      </c>
      <c r="AM122" s="1">
        <v>1.9</v>
      </c>
      <c r="AN122" s="1">
        <v>0.9</v>
      </c>
      <c r="AO122" s="1">
        <f t="shared" si="39"/>
        <v>0.85499999999999998</v>
      </c>
      <c r="AP122" s="2"/>
      <c r="AQ122" s="1"/>
      <c r="AR122" s="1"/>
      <c r="AS122" s="1"/>
      <c r="AT122" s="1">
        <v>4</v>
      </c>
      <c r="AU122" s="1">
        <v>33</v>
      </c>
      <c r="AV122" s="1"/>
      <c r="AW122" s="1">
        <v>52</v>
      </c>
      <c r="AX122" s="1"/>
    </row>
    <row r="123" spans="1:50" x14ac:dyDescent="0.2">
      <c r="A123" s="1" t="s">
        <v>68</v>
      </c>
      <c r="B123" s="1">
        <v>2022</v>
      </c>
      <c r="C123" s="1">
        <v>11</v>
      </c>
      <c r="D123" s="1" t="s">
        <v>136</v>
      </c>
      <c r="E123" s="29" t="s">
        <v>135</v>
      </c>
      <c r="F123" s="1" t="s">
        <v>33</v>
      </c>
      <c r="G123" s="1" t="s">
        <v>20</v>
      </c>
      <c r="H123" s="1">
        <v>40</v>
      </c>
      <c r="I123" s="1">
        <v>40</v>
      </c>
      <c r="J123" s="1">
        <f t="shared" si="41"/>
        <v>4</v>
      </c>
      <c r="K123" s="1">
        <v>1</v>
      </c>
      <c r="L123" s="1">
        <f t="shared" si="35"/>
        <v>0</v>
      </c>
      <c r="M123" s="1">
        <f t="shared" si="36"/>
        <v>4</v>
      </c>
      <c r="N123" s="1"/>
      <c r="O123" s="1">
        <v>1</v>
      </c>
      <c r="P123" s="1" t="s">
        <v>223</v>
      </c>
      <c r="Q123" s="1"/>
      <c r="R123" s="1" t="str">
        <f t="shared" si="34"/>
        <v/>
      </c>
      <c r="S123" s="25" t="str">
        <f t="shared" si="42"/>
        <v>N/A</v>
      </c>
      <c r="T123" s="1" t="str">
        <f t="shared" si="43"/>
        <v>N/A</v>
      </c>
      <c r="U123" s="1">
        <f t="shared" si="44"/>
        <v>0.20799999999999999</v>
      </c>
      <c r="V123" s="1" t="e">
        <f>IF(OR(ISNUMBER(Table1[[#This Row],[TX Pdc (W)]]), ISNUMBER(Table1[[#This Row],[RX Pdc (W)]])),MAX(Table1[[#This Row],[TX Pdc (W)]],Table1[[#This Row],[RX Pdc (W)]])/Table1[[#This Row],[Array Aperture Size (cm2)]],"N/A")</f>
        <v>#VALUE!</v>
      </c>
      <c r="W123" s="1">
        <f>IF(OR(ISNUMBER(Table1[[#This Row],[TX Pdc (W)]]), ISNUMBER(Table1[[#This Row],[RX Pdc (W)]])),MAX(Table1[[#This Row],[TX Pdc (W)]],Table1[[#This Row],[RX Pdc (W)]])/(Table1[[#This Row],['# of Array Tile]]*Table1[[#This Row],['# of IC per Tile]])/(Table1[[#This Row],[Chip Size (mm2)]]*0.01),"N/A")</f>
        <v>7.2727272727272716</v>
      </c>
      <c r="X123" s="23"/>
      <c r="Y123" s="1">
        <v>1</v>
      </c>
      <c r="Z123" s="1" t="s">
        <v>223</v>
      </c>
      <c r="AA123" s="1">
        <v>4</v>
      </c>
      <c r="AB123" s="1">
        <v>1</v>
      </c>
      <c r="AC123" s="1" t="s">
        <v>27</v>
      </c>
      <c r="AD123" s="1"/>
      <c r="AE123" s="1">
        <v>4</v>
      </c>
      <c r="AF123" s="1" t="s">
        <v>27</v>
      </c>
      <c r="AG123" s="1" t="s">
        <v>27</v>
      </c>
      <c r="AH123" s="1" t="e">
        <f t="shared" si="37"/>
        <v>#VALUE!</v>
      </c>
      <c r="AI123" s="1" t="e">
        <f t="shared" si="38"/>
        <v>#VALUE!</v>
      </c>
      <c r="AJ123" s="1">
        <v>2.2000000000000002</v>
      </c>
      <c r="AK123" s="1">
        <v>1.3</v>
      </c>
      <c r="AL123" s="1">
        <f>Table1[[#This Row],[Chip Size -X (mm)]]*Table1[[#This Row],[Chip Size - Y (mm)]]</f>
        <v>2.8600000000000003</v>
      </c>
      <c r="AM123" s="1">
        <v>1.9</v>
      </c>
      <c r="AN123" s="1">
        <v>0.9</v>
      </c>
      <c r="AO123" s="1">
        <f t="shared" si="39"/>
        <v>0.85499999999999998</v>
      </c>
      <c r="AP123" s="2"/>
      <c r="AQ123" s="1"/>
      <c r="AR123" s="1"/>
      <c r="AS123" s="1"/>
      <c r="AT123" s="1">
        <v>6</v>
      </c>
      <c r="AU123" s="1">
        <v>31</v>
      </c>
      <c r="AV123" s="1"/>
      <c r="AW123" s="1">
        <v>52</v>
      </c>
      <c r="AX123" s="1"/>
    </row>
    <row r="124" spans="1:50" x14ac:dyDescent="0.2">
      <c r="A124" s="1" t="s">
        <v>68</v>
      </c>
      <c r="B124" s="1">
        <v>2022</v>
      </c>
      <c r="C124" s="1">
        <v>11</v>
      </c>
      <c r="D124" s="1" t="s">
        <v>134</v>
      </c>
      <c r="E124" s="29" t="s">
        <v>133</v>
      </c>
      <c r="F124" s="1" t="s">
        <v>77</v>
      </c>
      <c r="G124" s="1" t="s">
        <v>20</v>
      </c>
      <c r="H124" s="1">
        <v>65</v>
      </c>
      <c r="I124" s="1">
        <v>28</v>
      </c>
      <c r="J124" s="1">
        <f t="shared" si="41"/>
        <v>128</v>
      </c>
      <c r="K124" s="1">
        <v>2</v>
      </c>
      <c r="L124" s="1">
        <f t="shared" si="35"/>
        <v>64</v>
      </c>
      <c r="M124" s="1">
        <f t="shared" si="36"/>
        <v>64</v>
      </c>
      <c r="N124" s="1">
        <v>1</v>
      </c>
      <c r="O124" s="1">
        <v>1</v>
      </c>
      <c r="P124" s="1" t="s">
        <v>223</v>
      </c>
      <c r="Q124" s="1">
        <v>54.4</v>
      </c>
      <c r="R124" s="1">
        <f t="shared" si="34"/>
        <v>64</v>
      </c>
      <c r="S124" s="25">
        <f t="shared" si="42"/>
        <v>31.361799739838876</v>
      </c>
      <c r="T124" s="1">
        <f t="shared" si="43"/>
        <v>4.992</v>
      </c>
      <c r="U124" s="1" t="str">
        <f t="shared" si="44"/>
        <v>N/A</v>
      </c>
      <c r="V124" s="1" t="e">
        <f>IF(OR(ISNUMBER(Table1[[#This Row],[TX Pdc (W)]]), ISNUMBER(Table1[[#This Row],[RX Pdc (W)]])),MAX(Table1[[#This Row],[TX Pdc (W)]],Table1[[#This Row],[RX Pdc (W)]])/Table1[[#This Row],[Array Aperture Size (cm2)]],"N/A")</f>
        <v>#VALUE!</v>
      </c>
      <c r="W124" s="1">
        <f>IF(OR(ISNUMBER(Table1[[#This Row],[TX Pdc (W)]]), ISNUMBER(Table1[[#This Row],[RX Pdc (W)]])),MAX(Table1[[#This Row],[TX Pdc (W)]],Table1[[#This Row],[RX Pdc (W)]])/(Table1[[#This Row],['# of Array Tile]]*Table1[[#This Row],['# of IC per Tile]])/(Table1[[#This Row],[Chip Size (mm2)]]*0.01),"N/A")</f>
        <v>4.875</v>
      </c>
      <c r="X124" s="23"/>
      <c r="Y124" s="1">
        <v>8</v>
      </c>
      <c r="Z124" s="1" t="s">
        <v>223</v>
      </c>
      <c r="AA124" s="1">
        <v>8</v>
      </c>
      <c r="AB124" s="1">
        <v>2</v>
      </c>
      <c r="AC124" s="1" t="s">
        <v>309</v>
      </c>
      <c r="AD124" s="1">
        <v>4</v>
      </c>
      <c r="AE124" s="1">
        <v>4</v>
      </c>
      <c r="AF124" s="1" t="s">
        <v>27</v>
      </c>
      <c r="AG124" s="1" t="s">
        <v>27</v>
      </c>
      <c r="AH124" s="1" t="e">
        <f t="shared" si="37"/>
        <v>#VALUE!</v>
      </c>
      <c r="AI124" s="1" t="e">
        <f t="shared" si="38"/>
        <v>#VALUE!</v>
      </c>
      <c r="AJ124" s="1">
        <v>3.2</v>
      </c>
      <c r="AK124" s="1">
        <v>2</v>
      </c>
      <c r="AL124" s="1">
        <f>Table1[[#This Row],[Chip Size -X (mm)]]*Table1[[#This Row],[Chip Size - Y (mm)]]</f>
        <v>6.4</v>
      </c>
      <c r="AM124" s="1">
        <v>2.91</v>
      </c>
      <c r="AN124" s="1">
        <v>1.61</v>
      </c>
      <c r="AO124" s="1">
        <f t="shared" si="39"/>
        <v>1.1712750000000001</v>
      </c>
      <c r="AP124" s="2"/>
      <c r="AQ124" s="1">
        <v>13.3</v>
      </c>
      <c r="AR124" s="1">
        <v>16.5</v>
      </c>
      <c r="AS124" s="1"/>
      <c r="AT124" s="1">
        <v>5.4</v>
      </c>
      <c r="AU124" s="1"/>
      <c r="AV124" s="1">
        <v>78</v>
      </c>
      <c r="AW124" s="1"/>
      <c r="AX124" s="1"/>
    </row>
    <row r="125" spans="1:50" x14ac:dyDescent="0.2">
      <c r="A125" s="1" t="s">
        <v>49</v>
      </c>
      <c r="B125" s="1">
        <v>2022</v>
      </c>
      <c r="C125" s="1">
        <v>12</v>
      </c>
      <c r="D125" s="1" t="s">
        <v>138</v>
      </c>
      <c r="E125" s="29" t="s">
        <v>137</v>
      </c>
      <c r="F125" s="1" t="s">
        <v>63</v>
      </c>
      <c r="G125" s="1" t="s">
        <v>20</v>
      </c>
      <c r="H125" s="1">
        <v>65</v>
      </c>
      <c r="I125" s="1">
        <v>20</v>
      </c>
      <c r="J125" s="1">
        <f t="shared" si="41"/>
        <v>1024</v>
      </c>
      <c r="K125" s="1">
        <v>2</v>
      </c>
      <c r="L125" s="1">
        <f t="shared" si="35"/>
        <v>0</v>
      </c>
      <c r="M125" s="1">
        <f t="shared" si="36"/>
        <v>1024</v>
      </c>
      <c r="N125" s="1"/>
      <c r="O125" s="1">
        <v>2</v>
      </c>
      <c r="P125" s="1" t="s">
        <v>223</v>
      </c>
      <c r="Q125" s="1"/>
      <c r="R125" s="1" t="str">
        <f t="shared" si="34"/>
        <v/>
      </c>
      <c r="S125" s="25" t="str">
        <f t="shared" si="42"/>
        <v>N/A</v>
      </c>
      <c r="T125" s="1" t="str">
        <f t="shared" si="43"/>
        <v>N/A</v>
      </c>
      <c r="U125" s="1">
        <f t="shared" si="44"/>
        <v>30.924799999999998</v>
      </c>
      <c r="V125" s="1">
        <f>IF(OR(ISNUMBER(Table1[[#This Row],[TX Pdc (W)]]), ISNUMBER(Table1[[#This Row],[RX Pdc (W)]])),MAX(Table1[[#This Row],[TX Pdc (W)]],Table1[[#This Row],[RX Pdc (W)]])/Table1[[#This Row],[Array Aperture Size (cm2)]],"N/A")</f>
        <v>4.6019047619047617</v>
      </c>
      <c r="W125" s="1">
        <f>IF(OR(ISNUMBER(Table1[[#This Row],[TX Pdc (W)]]), ISNUMBER(Table1[[#This Row],[RX Pdc (W)]])),MAX(Table1[[#This Row],[TX Pdc (W)]],Table1[[#This Row],[RX Pdc (W)]])/(Table1[[#This Row],['# of Array Tile]]*Table1[[#This Row],['# of IC per Tile]])/(Table1[[#This Row],[Chip Size (mm2)]]*0.01),"N/A")</f>
        <v>0.21192982456140347</v>
      </c>
      <c r="X125" s="23"/>
      <c r="Y125" s="1">
        <v>1</v>
      </c>
      <c r="Z125" s="1" t="s">
        <v>223</v>
      </c>
      <c r="AA125" s="1">
        <v>1024</v>
      </c>
      <c r="AB125" s="1">
        <v>256</v>
      </c>
      <c r="AC125" s="1" t="s">
        <v>27</v>
      </c>
      <c r="AD125" s="1"/>
      <c r="AE125" s="1">
        <v>4</v>
      </c>
      <c r="AF125" s="1">
        <v>2.4</v>
      </c>
      <c r="AG125" s="1">
        <v>2.8</v>
      </c>
      <c r="AH125" s="1">
        <f t="shared" si="37"/>
        <v>6.72</v>
      </c>
      <c r="AI125" s="1">
        <f t="shared" si="38"/>
        <v>0.65625</v>
      </c>
      <c r="AJ125" s="1">
        <v>9.5</v>
      </c>
      <c r="AK125" s="1">
        <v>6</v>
      </c>
      <c r="AL125" s="1">
        <f>Table1[[#This Row],[Chip Size -X (mm)]]*Table1[[#This Row],[Chip Size - Y (mm)]]</f>
        <v>57</v>
      </c>
      <c r="AM125" s="1">
        <v>5.05</v>
      </c>
      <c r="AN125" s="1">
        <v>3.4</v>
      </c>
      <c r="AO125" s="1">
        <f t="shared" si="39"/>
        <v>8.5849999999999991</v>
      </c>
      <c r="AP125" s="2"/>
      <c r="AQ125" s="1"/>
      <c r="AR125" s="1"/>
      <c r="AS125" s="1"/>
      <c r="AT125" s="1"/>
      <c r="AU125" s="1"/>
      <c r="AV125" s="1"/>
      <c r="AW125" s="1">
        <v>30.2</v>
      </c>
      <c r="AX125" s="1" t="s">
        <v>314</v>
      </c>
    </row>
    <row r="126" spans="1:50" x14ac:dyDescent="0.2">
      <c r="A126" s="1" t="s">
        <v>49</v>
      </c>
      <c r="B126" s="1">
        <v>2022</v>
      </c>
      <c r="C126" s="1">
        <v>12</v>
      </c>
      <c r="D126" s="1" t="s">
        <v>140</v>
      </c>
      <c r="E126" s="29" t="s">
        <v>139</v>
      </c>
      <c r="F126" s="1" t="s">
        <v>62</v>
      </c>
      <c r="G126" s="1" t="s">
        <v>17</v>
      </c>
      <c r="H126" s="1">
        <v>90</v>
      </c>
      <c r="I126" s="1">
        <v>5</v>
      </c>
      <c r="J126" s="1">
        <f t="shared" si="41"/>
        <v>16</v>
      </c>
      <c r="K126" s="1">
        <v>1</v>
      </c>
      <c r="L126" s="1">
        <f t="shared" si="35"/>
        <v>16</v>
      </c>
      <c r="M126" s="1">
        <f t="shared" si="36"/>
        <v>0</v>
      </c>
      <c r="N126" s="1">
        <v>1</v>
      </c>
      <c r="O126" s="1"/>
      <c r="P126" s="1" t="s">
        <v>223</v>
      </c>
      <c r="Q126" s="1">
        <v>16.2</v>
      </c>
      <c r="R126" s="1">
        <f t="shared" si="34"/>
        <v>16</v>
      </c>
      <c r="S126" s="25">
        <f t="shared" si="42"/>
        <v>23.54119982655925</v>
      </c>
      <c r="T126" s="1">
        <f t="shared" si="43"/>
        <v>3.84</v>
      </c>
      <c r="U126" s="1" t="str">
        <f t="shared" si="44"/>
        <v>N/A</v>
      </c>
      <c r="V126" s="1">
        <f>IF(OR(ISNUMBER(Table1[[#This Row],[TX Pdc (W)]]), ISNUMBER(Table1[[#This Row],[RX Pdc (W)]])),MAX(Table1[[#This Row],[TX Pdc (W)]],Table1[[#This Row],[RX Pdc (W)]])/Table1[[#This Row],[Array Aperture Size (cm2)]],"N/A")</f>
        <v>0.2776171197223829</v>
      </c>
      <c r="W126" s="1">
        <f>IF(OR(ISNUMBER(Table1[[#This Row],[TX Pdc (W)]]), ISNUMBER(Table1[[#This Row],[RX Pdc (W)]])),MAX(Table1[[#This Row],[TX Pdc (W)]],Table1[[#This Row],[RX Pdc (W)]])/(Table1[[#This Row],['# of Array Tile]]*Table1[[#This Row],['# of IC per Tile]])/(Table1[[#This Row],[Chip Size (mm2)]]*0.01),"N/A")</f>
        <v>10.474631751227495</v>
      </c>
      <c r="X126" s="23"/>
      <c r="Y126" s="1">
        <v>1</v>
      </c>
      <c r="Z126" s="1" t="s">
        <v>223</v>
      </c>
      <c r="AA126" s="1">
        <v>16</v>
      </c>
      <c r="AB126" s="1">
        <v>2</v>
      </c>
      <c r="AC126" s="1" t="s">
        <v>27</v>
      </c>
      <c r="AD126" s="1">
        <v>8</v>
      </c>
      <c r="AE126" s="1"/>
      <c r="AF126" s="1">
        <v>9.1</v>
      </c>
      <c r="AG126" s="1">
        <v>1.52</v>
      </c>
      <c r="AH126" s="1">
        <f t="shared" si="37"/>
        <v>13.831999999999999</v>
      </c>
      <c r="AI126" s="1">
        <f t="shared" si="38"/>
        <v>86.449999999999989</v>
      </c>
      <c r="AJ126" s="1">
        <v>3.9</v>
      </c>
      <c r="AK126" s="1">
        <v>4.7</v>
      </c>
      <c r="AL126" s="1">
        <f>Table1[[#This Row],[Chip Size -X (mm)]]*Table1[[#This Row],[Chip Size - Y (mm)]]</f>
        <v>18.330000000000002</v>
      </c>
      <c r="AM126" s="1">
        <v>3.8</v>
      </c>
      <c r="AN126" s="1">
        <v>3.76</v>
      </c>
      <c r="AO126" s="1">
        <f t="shared" si="39"/>
        <v>3.5719999999999996</v>
      </c>
      <c r="AP126" s="2"/>
      <c r="AQ126" s="1">
        <v>11.5</v>
      </c>
      <c r="AR126" s="1"/>
      <c r="AS126" s="1">
        <v>26</v>
      </c>
      <c r="AT126" s="1"/>
      <c r="AU126" s="1"/>
      <c r="AV126" s="1">
        <v>240</v>
      </c>
      <c r="AW126" s="1"/>
      <c r="AX126" s="1"/>
    </row>
    <row r="127" spans="1:50" x14ac:dyDescent="0.2">
      <c r="A127" s="1" t="s">
        <v>49</v>
      </c>
      <c r="B127" s="1">
        <v>2022</v>
      </c>
      <c r="C127" s="1">
        <v>12</v>
      </c>
      <c r="D127" s="1" t="s">
        <v>140</v>
      </c>
      <c r="E127" s="29" t="s">
        <v>139</v>
      </c>
      <c r="F127" s="1" t="s">
        <v>62</v>
      </c>
      <c r="G127" s="1" t="s">
        <v>17</v>
      </c>
      <c r="H127" s="1">
        <v>90</v>
      </c>
      <c r="I127" s="1">
        <v>33</v>
      </c>
      <c r="J127" s="1">
        <f t="shared" si="41"/>
        <v>16</v>
      </c>
      <c r="K127" s="1">
        <v>1</v>
      </c>
      <c r="L127" s="1">
        <f t="shared" si="35"/>
        <v>16</v>
      </c>
      <c r="M127" s="1">
        <f t="shared" si="36"/>
        <v>0</v>
      </c>
      <c r="N127" s="1">
        <v>1</v>
      </c>
      <c r="O127" s="1"/>
      <c r="P127" s="1" t="s">
        <v>223</v>
      </c>
      <c r="Q127" s="1">
        <v>38.5</v>
      </c>
      <c r="R127" s="1">
        <f t="shared" si="34"/>
        <v>16</v>
      </c>
      <c r="S127" s="25">
        <f t="shared" si="42"/>
        <v>22.141199826559248</v>
      </c>
      <c r="T127" s="1">
        <f t="shared" si="43"/>
        <v>3.84</v>
      </c>
      <c r="U127" s="1" t="str">
        <f t="shared" si="44"/>
        <v>N/A</v>
      </c>
      <c r="V127" s="1">
        <f>IF(OR(ISNUMBER(Table1[[#This Row],[TX Pdc (W)]]), ISNUMBER(Table1[[#This Row],[RX Pdc (W)]])),MAX(Table1[[#This Row],[TX Pdc (W)]],Table1[[#This Row],[RX Pdc (W)]])/Table1[[#This Row],[Array Aperture Size (cm2)]],"N/A")</f>
        <v>0.2776171197223829</v>
      </c>
      <c r="W127" s="1">
        <f>IF(OR(ISNUMBER(Table1[[#This Row],[TX Pdc (W)]]), ISNUMBER(Table1[[#This Row],[RX Pdc (W)]])),MAX(Table1[[#This Row],[TX Pdc (W)]],Table1[[#This Row],[RX Pdc (W)]])/(Table1[[#This Row],['# of Array Tile]]*Table1[[#This Row],['# of IC per Tile]])/(Table1[[#This Row],[Chip Size (mm2)]]*0.01),"N/A")</f>
        <v>10.474631751227495</v>
      </c>
      <c r="X127" s="23"/>
      <c r="Y127" s="1">
        <v>1</v>
      </c>
      <c r="Z127" s="1" t="s">
        <v>223</v>
      </c>
      <c r="AA127" s="1">
        <v>16</v>
      </c>
      <c r="AB127" s="1">
        <v>2</v>
      </c>
      <c r="AC127" s="1" t="s">
        <v>27</v>
      </c>
      <c r="AD127" s="1">
        <v>8</v>
      </c>
      <c r="AE127" s="1"/>
      <c r="AF127" s="1">
        <v>9.1</v>
      </c>
      <c r="AG127" s="1">
        <v>1.52</v>
      </c>
      <c r="AH127" s="1">
        <f t="shared" si="37"/>
        <v>13.831999999999999</v>
      </c>
      <c r="AI127" s="1">
        <f t="shared" si="38"/>
        <v>86.449999999999989</v>
      </c>
      <c r="AJ127" s="1">
        <v>3.9</v>
      </c>
      <c r="AK127" s="1">
        <v>4.7</v>
      </c>
      <c r="AL127" s="1">
        <f>Table1[[#This Row],[Chip Size -X (mm)]]*Table1[[#This Row],[Chip Size - Y (mm)]]</f>
        <v>18.330000000000002</v>
      </c>
      <c r="AM127" s="1">
        <v>3.8</v>
      </c>
      <c r="AN127" s="1">
        <v>3.76</v>
      </c>
      <c r="AO127" s="1">
        <f t="shared" si="39"/>
        <v>3.5719999999999996</v>
      </c>
      <c r="AP127" s="2"/>
      <c r="AQ127" s="1">
        <v>10.1</v>
      </c>
      <c r="AR127" s="1"/>
      <c r="AS127" s="1">
        <v>24.4</v>
      </c>
      <c r="AT127" s="1"/>
      <c r="AU127" s="1"/>
      <c r="AV127" s="1">
        <v>240</v>
      </c>
      <c r="AW127" s="1"/>
      <c r="AX127" s="1"/>
    </row>
    <row r="128" spans="1:50" x14ac:dyDescent="0.2">
      <c r="A128" s="1" t="s">
        <v>68</v>
      </c>
      <c r="B128" s="1">
        <v>2023</v>
      </c>
      <c r="C128" s="1">
        <v>1</v>
      </c>
      <c r="D128" s="1" t="s">
        <v>69</v>
      </c>
      <c r="E128" s="29" t="s">
        <v>141</v>
      </c>
      <c r="F128" s="1" t="s">
        <v>77</v>
      </c>
      <c r="G128" s="1" t="s">
        <v>20</v>
      </c>
      <c r="H128" s="1">
        <v>65</v>
      </c>
      <c r="I128" s="1">
        <v>39</v>
      </c>
      <c r="J128" s="1">
        <f t="shared" si="41"/>
        <v>128</v>
      </c>
      <c r="K128" s="1">
        <v>2</v>
      </c>
      <c r="L128" s="1">
        <f t="shared" si="35"/>
        <v>64</v>
      </c>
      <c r="M128" s="1">
        <f t="shared" si="36"/>
        <v>64</v>
      </c>
      <c r="N128" s="1">
        <v>2</v>
      </c>
      <c r="O128" s="1"/>
      <c r="P128" s="1" t="s">
        <v>223</v>
      </c>
      <c r="Q128" s="1">
        <v>55.2</v>
      </c>
      <c r="R128" s="1">
        <f t="shared" si="34"/>
        <v>64</v>
      </c>
      <c r="S128" s="25">
        <f t="shared" si="42"/>
        <v>36.961799739838874</v>
      </c>
      <c r="T128" s="1">
        <f t="shared" si="43"/>
        <v>25.728000000000002</v>
      </c>
      <c r="U128" s="1">
        <f t="shared" si="44"/>
        <v>5.5679999999999996</v>
      </c>
      <c r="V128" s="1" t="e">
        <f>IF(OR(ISNUMBER(Table1[[#This Row],[TX Pdc (W)]]), ISNUMBER(Table1[[#This Row],[RX Pdc (W)]])),MAX(Table1[[#This Row],[TX Pdc (W)]],Table1[[#This Row],[RX Pdc (W)]])/Table1[[#This Row],[Array Aperture Size (cm2)]],"N/A")</f>
        <v>#VALUE!</v>
      </c>
      <c r="W128" s="1">
        <f>IF(OR(ISNUMBER(Table1[[#This Row],[TX Pdc (W)]]), ISNUMBER(Table1[[#This Row],[RX Pdc (W)]])),MAX(Table1[[#This Row],[TX Pdc (W)]],Table1[[#This Row],[RX Pdc (W)]])/(Table1[[#This Row],['# of Array Tile]]*Table1[[#This Row],['# of IC per Tile]])/(Table1[[#This Row],[Chip Size (mm2)]]*0.01),"N/A")</f>
        <v>7.1466666666666665</v>
      </c>
      <c r="X128" s="23"/>
      <c r="Y128" s="1">
        <v>1</v>
      </c>
      <c r="Z128" s="1" t="s">
        <v>223</v>
      </c>
      <c r="AA128" s="1">
        <v>64</v>
      </c>
      <c r="AB128" s="1">
        <v>16</v>
      </c>
      <c r="AC128" s="1" t="s">
        <v>309</v>
      </c>
      <c r="AD128" s="1">
        <v>4</v>
      </c>
      <c r="AE128" s="1">
        <v>4</v>
      </c>
      <c r="AF128" s="1" t="s">
        <v>27</v>
      </c>
      <c r="AG128" s="1" t="s">
        <v>27</v>
      </c>
      <c r="AH128" s="1" t="e">
        <f t="shared" si="37"/>
        <v>#VALUE!</v>
      </c>
      <c r="AI128" s="1" t="e">
        <f t="shared" si="38"/>
        <v>#VALUE!</v>
      </c>
      <c r="AJ128" s="1">
        <v>4.5</v>
      </c>
      <c r="AK128" s="1">
        <v>5</v>
      </c>
      <c r="AL128" s="1">
        <f>Table1[[#This Row],[Chip Size -X (mm)]]*Table1[[#This Row],[Chip Size - Y (mm)]]</f>
        <v>22.5</v>
      </c>
      <c r="AM128" s="1">
        <v>3.76</v>
      </c>
      <c r="AN128" s="1">
        <v>5</v>
      </c>
      <c r="AO128" s="1">
        <f t="shared" si="39"/>
        <v>4.6999999999999993</v>
      </c>
      <c r="AP128" s="2"/>
      <c r="AQ128" s="1">
        <v>18.899999999999999</v>
      </c>
      <c r="AR128" s="1">
        <v>19.3</v>
      </c>
      <c r="AS128" s="1"/>
      <c r="AT128" s="1"/>
      <c r="AU128" s="1"/>
      <c r="AV128" s="1">
        <v>402</v>
      </c>
      <c r="AW128" s="1">
        <v>87</v>
      </c>
      <c r="AX128" s="1"/>
    </row>
    <row r="129" spans="1:50" x14ac:dyDescent="0.2">
      <c r="A129" s="1" t="s">
        <v>68</v>
      </c>
      <c r="B129" s="1">
        <v>2023</v>
      </c>
      <c r="C129" s="1">
        <v>1</v>
      </c>
      <c r="D129" s="1" t="s">
        <v>142</v>
      </c>
      <c r="E129" s="29" t="s">
        <v>143</v>
      </c>
      <c r="F129" s="1" t="s">
        <v>35</v>
      </c>
      <c r="G129" s="1" t="s">
        <v>17</v>
      </c>
      <c r="H129" s="1">
        <v>130</v>
      </c>
      <c r="I129" s="1">
        <v>141</v>
      </c>
      <c r="J129" s="1">
        <f t="shared" si="41"/>
        <v>8</v>
      </c>
      <c r="K129" s="1">
        <v>1</v>
      </c>
      <c r="L129" s="1">
        <f t="shared" si="35"/>
        <v>4</v>
      </c>
      <c r="M129" s="1">
        <f t="shared" si="36"/>
        <v>4</v>
      </c>
      <c r="N129" s="1">
        <v>1</v>
      </c>
      <c r="O129" s="1">
        <v>1</v>
      </c>
      <c r="P129" s="1" t="s">
        <v>218</v>
      </c>
      <c r="Q129" s="1"/>
      <c r="R129" s="1" t="str">
        <f t="shared" ref="R129:R147" si="45">IF(Q129="","",Y129*AA129)</f>
        <v/>
      </c>
      <c r="S129" s="25">
        <f t="shared" si="42"/>
        <v>-1.9794000867203771</v>
      </c>
      <c r="T129" s="1">
        <v>2.5</v>
      </c>
      <c r="U129" s="1">
        <v>1.95</v>
      </c>
      <c r="V129" s="1">
        <f>IF(OR(ISNUMBER(Table1[[#This Row],[TX Pdc (W)]]), ISNUMBER(Table1[[#This Row],[RX Pdc (W)]])),MAX(Table1[[#This Row],[TX Pdc (W)]],Table1[[#This Row],[RX Pdc (W)]])/Table1[[#This Row],[Array Aperture Size (cm2)]],"N/A")</f>
        <v>10.629251700680271</v>
      </c>
      <c r="W129" s="1">
        <f>IF(OR(ISNUMBER(Table1[[#This Row],[TX Pdc (W)]]), ISNUMBER(Table1[[#This Row],[RX Pdc (W)]])),MAX(Table1[[#This Row],[TX Pdc (W)]],Table1[[#This Row],[RX Pdc (W)]])/(Table1[[#This Row],['# of Array Tile]]*Table1[[#This Row],['# of IC per Tile]])/(Table1[[#This Row],[Chip Size (mm2)]]*0.01),"N/A")</f>
        <v>9.1915143939115378</v>
      </c>
      <c r="X129" s="23"/>
      <c r="Y129" s="1">
        <v>1</v>
      </c>
      <c r="Z129" s="1" t="s">
        <v>218</v>
      </c>
      <c r="AA129" s="1">
        <v>4</v>
      </c>
      <c r="AB129" s="1">
        <v>1</v>
      </c>
      <c r="AC129" s="1" t="s">
        <v>309</v>
      </c>
      <c r="AD129" s="1">
        <v>4</v>
      </c>
      <c r="AE129" s="1">
        <v>4</v>
      </c>
      <c r="AF129" s="1">
        <v>0.42</v>
      </c>
      <c r="AG129" s="1">
        <v>0.56000000000000005</v>
      </c>
      <c r="AH129" s="1">
        <f t="shared" si="37"/>
        <v>0.23520000000000002</v>
      </c>
      <c r="AI129" s="1">
        <f t="shared" si="38"/>
        <v>5.8800000000000008</v>
      </c>
      <c r="AJ129" s="1">
        <v>4.6100000000000003</v>
      </c>
      <c r="AK129" s="1">
        <v>5.9</v>
      </c>
      <c r="AL129" s="1">
        <f>Table1[[#This Row],[Chip Size -X (mm)]]*Table1[[#This Row],[Chip Size - Y (mm)]]</f>
        <v>27.199000000000005</v>
      </c>
      <c r="AM129" s="1">
        <v>4.2</v>
      </c>
      <c r="AN129" s="1">
        <v>5.63</v>
      </c>
      <c r="AO129" s="1">
        <f t="shared" si="39"/>
        <v>5.9115000000000002</v>
      </c>
      <c r="AP129" s="2"/>
      <c r="AQ129" s="1">
        <v>-8</v>
      </c>
      <c r="AR129" s="1"/>
      <c r="AS129" s="1">
        <v>8.4</v>
      </c>
      <c r="AT129" s="1">
        <v>10.08</v>
      </c>
      <c r="AU129" s="1">
        <v>22</v>
      </c>
      <c r="AV129" s="1"/>
      <c r="AW129" s="1"/>
      <c r="AX129" s="1"/>
    </row>
    <row r="130" spans="1:50" x14ac:dyDescent="0.2">
      <c r="A130" s="1" t="s">
        <v>68</v>
      </c>
      <c r="B130" s="1">
        <v>2023</v>
      </c>
      <c r="C130" s="1">
        <v>1</v>
      </c>
      <c r="D130" s="1" t="s">
        <v>102</v>
      </c>
      <c r="E130" s="29" t="s">
        <v>144</v>
      </c>
      <c r="F130" s="1" t="s">
        <v>41</v>
      </c>
      <c r="G130" s="1" t="s">
        <v>51</v>
      </c>
      <c r="H130" s="1">
        <v>45</v>
      </c>
      <c r="I130" s="1">
        <v>28</v>
      </c>
      <c r="J130" s="1">
        <f t="shared" si="41"/>
        <v>4</v>
      </c>
      <c r="K130" s="1">
        <v>1</v>
      </c>
      <c r="L130" s="1">
        <f t="shared" ref="L130:L147" si="46">AD130*AB130*Y130</f>
        <v>4</v>
      </c>
      <c r="M130" s="1">
        <f t="shared" ref="M130:M147" si="47">AE130*AB130*Y130</f>
        <v>0</v>
      </c>
      <c r="N130" s="1">
        <v>1</v>
      </c>
      <c r="O130" s="1"/>
      <c r="P130" s="1" t="s">
        <v>223</v>
      </c>
      <c r="Q130" s="1"/>
      <c r="R130" s="1" t="str">
        <f t="shared" si="45"/>
        <v/>
      </c>
      <c r="S130" s="25">
        <f t="shared" si="42"/>
        <v>23.520599913279625</v>
      </c>
      <c r="T130" s="1" t="str">
        <f t="shared" ref="T130:T136" si="48">IF(AV130="","N/A",AV130*AD130*AB130*Y130/1000)</f>
        <v>N/A</v>
      </c>
      <c r="U130" s="1" t="str">
        <f t="shared" ref="U130:U139" si="49">IF(AW130="","N/A",AW130*AE130*AB130*Y130/1000)</f>
        <v>N/A</v>
      </c>
      <c r="V130" s="1" t="str">
        <f>IF(OR(ISNUMBER(Table1[[#This Row],[TX Pdc (W)]]), ISNUMBER(Table1[[#This Row],[RX Pdc (W)]])),MAX(Table1[[#This Row],[TX Pdc (W)]],Table1[[#This Row],[RX Pdc (W)]])/Table1[[#This Row],[Array Aperture Size (cm2)]],"N/A")</f>
        <v>N/A</v>
      </c>
      <c r="W130" s="1" t="str">
        <f>IF(OR(ISNUMBER(Table1[[#This Row],[TX Pdc (W)]]), ISNUMBER(Table1[[#This Row],[RX Pdc (W)]])),MAX(Table1[[#This Row],[TX Pdc (W)]],Table1[[#This Row],[RX Pdc (W)]])/(Table1[[#This Row],['# of Array Tile]]*Table1[[#This Row],['# of IC per Tile]])/(Table1[[#This Row],[Chip Size (mm2)]]*0.01),"N/A")</f>
        <v>N/A</v>
      </c>
      <c r="X130" s="23"/>
      <c r="Y130" s="1">
        <v>1</v>
      </c>
      <c r="Z130" s="1" t="s">
        <v>223</v>
      </c>
      <c r="AA130" s="1">
        <v>4</v>
      </c>
      <c r="AB130" s="1">
        <v>1</v>
      </c>
      <c r="AC130" s="1" t="s">
        <v>27</v>
      </c>
      <c r="AD130" s="1">
        <v>4</v>
      </c>
      <c r="AE130" s="1"/>
      <c r="AF130" s="1" t="s">
        <v>27</v>
      </c>
      <c r="AG130" s="1" t="s">
        <v>27</v>
      </c>
      <c r="AH130" s="1" t="e">
        <f t="shared" ref="AH130:AH147" si="50">AF130*AG130</f>
        <v>#VALUE!</v>
      </c>
      <c r="AI130" s="1" t="e">
        <f t="shared" ref="AI130:AI147" si="51">(AH130*100/(Y130*AA130))</f>
        <v>#VALUE!</v>
      </c>
      <c r="AJ130" s="1">
        <v>4.8499999999999996</v>
      </c>
      <c r="AK130" s="1">
        <v>2.25</v>
      </c>
      <c r="AL130" s="1">
        <f>Table1[[#This Row],[Chip Size -X (mm)]]*Table1[[#This Row],[Chip Size - Y (mm)]]</f>
        <v>10.9125</v>
      </c>
      <c r="AM130" s="1">
        <v>4.4400000000000004</v>
      </c>
      <c r="AN130" s="1">
        <v>1.91</v>
      </c>
      <c r="AO130" s="1">
        <f t="shared" ref="AO130:AO147" si="52">(AM130*AN130/(AD130+AE130)*MAX(AD130,AE130)*2)/MAX(AD130,AE130)</f>
        <v>4.2402000000000006</v>
      </c>
      <c r="AP130" s="2"/>
      <c r="AQ130" s="1">
        <v>17.5</v>
      </c>
      <c r="AR130" s="1">
        <v>16</v>
      </c>
      <c r="AS130" s="1">
        <v>29</v>
      </c>
      <c r="AT130" s="1"/>
      <c r="AU130" s="1"/>
      <c r="AV130" s="1"/>
      <c r="AW130" s="1"/>
      <c r="AX130" s="1"/>
    </row>
    <row r="131" spans="1:50" x14ac:dyDescent="0.2">
      <c r="A131" s="1" t="s">
        <v>14</v>
      </c>
      <c r="B131" s="1">
        <v>2023</v>
      </c>
      <c r="C131" s="1">
        <v>2</v>
      </c>
      <c r="D131" s="1" t="s">
        <v>50</v>
      </c>
      <c r="E131" s="29" t="s">
        <v>173</v>
      </c>
      <c r="F131" s="1" t="s">
        <v>41</v>
      </c>
      <c r="G131" s="1" t="s">
        <v>20</v>
      </c>
      <c r="H131" s="1">
        <v>40</v>
      </c>
      <c r="I131" s="1">
        <v>77</v>
      </c>
      <c r="J131" s="1">
        <f t="shared" si="41"/>
        <v>1</v>
      </c>
      <c r="K131" s="1" t="s">
        <v>27</v>
      </c>
      <c r="L131" s="1">
        <f t="shared" si="46"/>
        <v>1</v>
      </c>
      <c r="M131" s="1">
        <f t="shared" si="47"/>
        <v>0</v>
      </c>
      <c r="N131" s="1">
        <v>1</v>
      </c>
      <c r="O131" s="1"/>
      <c r="P131" s="1" t="s">
        <v>222</v>
      </c>
      <c r="Q131" s="1"/>
      <c r="R131" s="1" t="str">
        <f t="shared" si="45"/>
        <v/>
      </c>
      <c r="S131" s="25">
        <f t="shared" si="42"/>
        <v>20.5</v>
      </c>
      <c r="T131" s="1">
        <f t="shared" si="48"/>
        <v>0.51100000000000001</v>
      </c>
      <c r="U131" s="1" t="str">
        <f t="shared" si="49"/>
        <v>N/A</v>
      </c>
      <c r="V131" s="1" t="e">
        <f>IF(OR(ISNUMBER(Table1[[#This Row],[TX Pdc (W)]]), ISNUMBER(Table1[[#This Row],[RX Pdc (W)]])),MAX(Table1[[#This Row],[TX Pdc (W)]],Table1[[#This Row],[RX Pdc (W)]])/Table1[[#This Row],[Array Aperture Size (cm2)]],"N/A")</f>
        <v>#VALUE!</v>
      </c>
      <c r="W131" s="1">
        <f>IF(OR(ISNUMBER(Table1[[#This Row],[TX Pdc (W)]]), ISNUMBER(Table1[[#This Row],[RX Pdc (W)]])),MAX(Table1[[#This Row],[TX Pdc (W)]],Table1[[#This Row],[RX Pdc (W)]])/(Table1[[#This Row],['# of Array Tile]]*Table1[[#This Row],['# of IC per Tile]])/(Table1[[#This Row],[Chip Size (mm2)]]*0.01),"N/A")</f>
        <v>56.030701754385966</v>
      </c>
      <c r="X131" s="23"/>
      <c r="Y131" s="1">
        <v>1</v>
      </c>
      <c r="Z131" s="1" t="s">
        <v>27</v>
      </c>
      <c r="AA131" s="1">
        <v>1</v>
      </c>
      <c r="AB131" s="1">
        <v>1</v>
      </c>
      <c r="AC131" s="1" t="s">
        <v>27</v>
      </c>
      <c r="AD131" s="1">
        <v>1</v>
      </c>
      <c r="AE131" s="1"/>
      <c r="AF131" s="1" t="s">
        <v>27</v>
      </c>
      <c r="AG131" s="1" t="s">
        <v>27</v>
      </c>
      <c r="AH131" s="1" t="e">
        <f t="shared" si="50"/>
        <v>#VALUE!</v>
      </c>
      <c r="AI131" s="1" t="e">
        <f t="shared" si="51"/>
        <v>#VALUE!</v>
      </c>
      <c r="AJ131" s="1">
        <v>1.1399999999999999</v>
      </c>
      <c r="AK131" s="1">
        <v>0.8</v>
      </c>
      <c r="AL131" s="1">
        <f>Table1[[#This Row],[Chip Size -X (mm)]]*Table1[[#This Row],[Chip Size - Y (mm)]]</f>
        <v>0.91199999999999992</v>
      </c>
      <c r="AM131" s="1">
        <v>0.86</v>
      </c>
      <c r="AN131" s="1">
        <v>0.34</v>
      </c>
      <c r="AO131" s="1">
        <f t="shared" si="52"/>
        <v>0.58479999999999999</v>
      </c>
      <c r="AP131" s="2"/>
      <c r="AQ131" s="1">
        <v>20.5</v>
      </c>
      <c r="AR131" s="1">
        <v>20.399999999999999</v>
      </c>
      <c r="AS131" s="1"/>
      <c r="AT131" s="1"/>
      <c r="AU131" s="1"/>
      <c r="AV131" s="1">
        <v>511</v>
      </c>
      <c r="AW131" s="1"/>
      <c r="AX131" s="1"/>
    </row>
    <row r="132" spans="1:50" x14ac:dyDescent="0.2">
      <c r="A132" s="1" t="s">
        <v>49</v>
      </c>
      <c r="B132" s="1">
        <v>2023</v>
      </c>
      <c r="C132" s="1">
        <v>2</v>
      </c>
      <c r="D132" s="1" t="s">
        <v>146</v>
      </c>
      <c r="E132" s="29" t="s">
        <v>145</v>
      </c>
      <c r="F132" s="1" t="s">
        <v>41</v>
      </c>
      <c r="G132" s="1" t="s">
        <v>17</v>
      </c>
      <c r="H132" s="1">
        <v>130</v>
      </c>
      <c r="I132" s="1">
        <v>246</v>
      </c>
      <c r="J132" s="1">
        <f t="shared" si="41"/>
        <v>1</v>
      </c>
      <c r="K132" s="1" t="s">
        <v>27</v>
      </c>
      <c r="L132" s="1">
        <f t="shared" si="46"/>
        <v>1</v>
      </c>
      <c r="M132" s="1">
        <f t="shared" si="47"/>
        <v>0</v>
      </c>
      <c r="N132" s="1">
        <v>1</v>
      </c>
      <c r="O132" s="1"/>
      <c r="P132" s="1" t="s">
        <v>222</v>
      </c>
      <c r="Q132" s="1"/>
      <c r="R132" s="1" t="str">
        <f t="shared" si="45"/>
        <v/>
      </c>
      <c r="S132" s="25">
        <f t="shared" si="42"/>
        <v>3.5</v>
      </c>
      <c r="T132" s="1">
        <f t="shared" si="48"/>
        <v>0.41399999999999998</v>
      </c>
      <c r="U132" s="1" t="str">
        <f t="shared" si="49"/>
        <v>N/A</v>
      </c>
      <c r="V132" s="1" t="e">
        <f>IF(OR(ISNUMBER(Table1[[#This Row],[TX Pdc (W)]]), ISNUMBER(Table1[[#This Row],[RX Pdc (W)]])),MAX(Table1[[#This Row],[TX Pdc (W)]],Table1[[#This Row],[RX Pdc (W)]])/Table1[[#This Row],[Array Aperture Size (cm2)]],"N/A")</f>
        <v>#VALUE!</v>
      </c>
      <c r="W132" s="1">
        <f>IF(OR(ISNUMBER(Table1[[#This Row],[TX Pdc (W)]]), ISNUMBER(Table1[[#This Row],[RX Pdc (W)]])),MAX(Table1[[#This Row],[TX Pdc (W)]],Table1[[#This Row],[RX Pdc (W)]])/(Table1[[#This Row],['# of Array Tile]]*Table1[[#This Row],['# of IC per Tile]])/(Table1[[#This Row],[Chip Size (mm2)]]*0.01),"N/A")</f>
        <v>25.761648745519715</v>
      </c>
      <c r="X132" s="23"/>
      <c r="Y132" s="1">
        <v>1</v>
      </c>
      <c r="Z132" s="1" t="s">
        <v>27</v>
      </c>
      <c r="AA132" s="1" t="s">
        <v>27</v>
      </c>
      <c r="AB132" s="1">
        <v>1</v>
      </c>
      <c r="AC132" s="1" t="s">
        <v>27</v>
      </c>
      <c r="AD132" s="1">
        <v>1</v>
      </c>
      <c r="AE132" s="1"/>
      <c r="AF132" s="1" t="s">
        <v>27</v>
      </c>
      <c r="AG132" s="1" t="s">
        <v>27</v>
      </c>
      <c r="AH132" s="1" t="e">
        <f t="shared" si="50"/>
        <v>#VALUE!</v>
      </c>
      <c r="AI132" s="1" t="e">
        <f t="shared" si="51"/>
        <v>#VALUE!</v>
      </c>
      <c r="AJ132" s="1">
        <v>1.92</v>
      </c>
      <c r="AK132" s="1">
        <v>0.83699999999999997</v>
      </c>
      <c r="AL132" s="1">
        <f>Table1[[#This Row],[Chip Size -X (mm)]]*Table1[[#This Row],[Chip Size - Y (mm)]]</f>
        <v>1.6070399999999998</v>
      </c>
      <c r="AM132" s="1">
        <v>1.514</v>
      </c>
      <c r="AN132" s="1">
        <v>0.76500000000000001</v>
      </c>
      <c r="AO132" s="1">
        <f t="shared" si="52"/>
        <v>2.3164199999999999</v>
      </c>
      <c r="AP132" s="2"/>
      <c r="AQ132" s="1">
        <v>3.5</v>
      </c>
      <c r="AR132" s="1">
        <v>0.54</v>
      </c>
      <c r="AS132" s="1"/>
      <c r="AT132" s="1"/>
      <c r="AU132" s="1"/>
      <c r="AV132" s="1">
        <v>414</v>
      </c>
      <c r="AW132" s="1"/>
      <c r="AX132" s="1"/>
    </row>
    <row r="133" spans="1:50" x14ac:dyDescent="0.2">
      <c r="A133" s="1" t="s">
        <v>14</v>
      </c>
      <c r="B133" s="1">
        <v>2023</v>
      </c>
      <c r="C133" s="1">
        <v>2</v>
      </c>
      <c r="D133" s="1" t="s">
        <v>119</v>
      </c>
      <c r="E133" s="29" t="s">
        <v>176</v>
      </c>
      <c r="F133" s="1" t="s">
        <v>26</v>
      </c>
      <c r="G133" s="1" t="s">
        <v>20</v>
      </c>
      <c r="H133" s="1">
        <v>65</v>
      </c>
      <c r="I133" s="1">
        <v>675</v>
      </c>
      <c r="J133" s="1">
        <f t="shared" si="41"/>
        <v>144</v>
      </c>
      <c r="K133" s="1">
        <v>2</v>
      </c>
      <c r="L133" s="1">
        <f t="shared" si="46"/>
        <v>144</v>
      </c>
      <c r="M133" s="1">
        <f t="shared" si="47"/>
        <v>0</v>
      </c>
      <c r="N133" s="1">
        <v>1</v>
      </c>
      <c r="O133" s="1"/>
      <c r="P133" s="1" t="s">
        <v>218</v>
      </c>
      <c r="Q133" s="1">
        <v>30.8</v>
      </c>
      <c r="R133" s="1">
        <f t="shared" si="45"/>
        <v>144</v>
      </c>
      <c r="S133" s="25">
        <v>9.1</v>
      </c>
      <c r="T133" s="1" t="str">
        <f t="shared" si="48"/>
        <v>N/A</v>
      </c>
      <c r="U133" s="1" t="str">
        <f t="shared" si="49"/>
        <v>N/A</v>
      </c>
      <c r="V133" s="1" t="str">
        <f>IF(OR(ISNUMBER(Table1[[#This Row],[TX Pdc (W)]]), ISNUMBER(Table1[[#This Row],[RX Pdc (W)]])),MAX(Table1[[#This Row],[TX Pdc (W)]],Table1[[#This Row],[RX Pdc (W)]])/Table1[[#This Row],[Array Aperture Size (cm2)]],"N/A")</f>
        <v>N/A</v>
      </c>
      <c r="W133" s="1" t="str">
        <f>IF(OR(ISNUMBER(Table1[[#This Row],[TX Pdc (W)]]), ISNUMBER(Table1[[#This Row],[RX Pdc (W)]])),MAX(Table1[[#This Row],[TX Pdc (W)]],Table1[[#This Row],[RX Pdc (W)]])/(Table1[[#This Row],['# of Array Tile]]*Table1[[#This Row],['# of IC per Tile]])/(Table1[[#This Row],[Chip Size (mm2)]]*0.01),"N/A")</f>
        <v>N/A</v>
      </c>
      <c r="X133" s="23"/>
      <c r="Y133" s="1">
        <v>1</v>
      </c>
      <c r="Z133" s="1" t="s">
        <v>218</v>
      </c>
      <c r="AA133" s="1">
        <v>144</v>
      </c>
      <c r="AB133" s="1">
        <v>1</v>
      </c>
      <c r="AC133" s="1" t="s">
        <v>27</v>
      </c>
      <c r="AD133" s="1">
        <v>144</v>
      </c>
      <c r="AE133" s="1"/>
      <c r="AF133" s="1" t="s">
        <v>27</v>
      </c>
      <c r="AG133" s="1" t="s">
        <v>27</v>
      </c>
      <c r="AH133" s="1" t="e">
        <f t="shared" si="50"/>
        <v>#VALUE!</v>
      </c>
      <c r="AI133" s="1" t="e">
        <f t="shared" si="51"/>
        <v>#VALUE!</v>
      </c>
      <c r="AJ133" s="1">
        <v>2</v>
      </c>
      <c r="AK133" s="1">
        <v>1.7</v>
      </c>
      <c r="AL133" s="1">
        <f>Table1[[#This Row],[Chip Size -X (mm)]]*Table1[[#This Row],[Chip Size - Y (mm)]]</f>
        <v>3.4</v>
      </c>
      <c r="AM133" s="1">
        <v>1.8</v>
      </c>
      <c r="AN133" s="1">
        <v>1.5</v>
      </c>
      <c r="AO133" s="1">
        <f t="shared" si="52"/>
        <v>3.7500000000000006E-2</v>
      </c>
      <c r="AP133" s="2"/>
      <c r="AQ133" s="1"/>
      <c r="AR133" s="1">
        <v>0.245</v>
      </c>
      <c r="AS133" s="1"/>
      <c r="AT133" s="1"/>
      <c r="AU133" s="1"/>
      <c r="AV133" s="1"/>
      <c r="AW133" s="1"/>
      <c r="AX133" s="1"/>
    </row>
    <row r="134" spans="1:50" x14ac:dyDescent="0.2">
      <c r="A134" s="1" t="s">
        <v>14</v>
      </c>
      <c r="B134" s="1">
        <v>2023</v>
      </c>
      <c r="C134" s="1">
        <v>2</v>
      </c>
      <c r="D134" s="1" t="s">
        <v>172</v>
      </c>
      <c r="E134" s="29" t="s">
        <v>171</v>
      </c>
      <c r="F134" s="1" t="s">
        <v>33</v>
      </c>
      <c r="G134" s="1" t="s">
        <v>158</v>
      </c>
      <c r="H134" s="1">
        <v>22</v>
      </c>
      <c r="I134" s="1">
        <v>140</v>
      </c>
      <c r="J134" s="1">
        <f t="shared" si="41"/>
        <v>1</v>
      </c>
      <c r="K134" s="1" t="s">
        <v>27</v>
      </c>
      <c r="L134" s="1">
        <f t="shared" si="46"/>
        <v>0</v>
      </c>
      <c r="M134" s="1">
        <f t="shared" si="47"/>
        <v>1</v>
      </c>
      <c r="N134" s="1"/>
      <c r="O134" s="1">
        <v>1</v>
      </c>
      <c r="P134" s="1" t="s">
        <v>222</v>
      </c>
      <c r="Q134" s="1"/>
      <c r="R134" s="1" t="str">
        <f t="shared" si="45"/>
        <v/>
      </c>
      <c r="S134" s="25" t="str">
        <f t="shared" ref="S134:S147" si="53">IF(AQ134="","N/A",10*LOG10(10^(AQ134/10)*AD134*AB134*Y134))</f>
        <v>N/A</v>
      </c>
      <c r="T134" s="1" t="str">
        <f t="shared" si="48"/>
        <v>N/A</v>
      </c>
      <c r="U134" s="1">
        <f t="shared" si="49"/>
        <v>0.123</v>
      </c>
      <c r="V134" s="1" t="e">
        <f>IF(OR(ISNUMBER(Table1[[#This Row],[TX Pdc (W)]]), ISNUMBER(Table1[[#This Row],[RX Pdc (W)]])),MAX(Table1[[#This Row],[TX Pdc (W)]],Table1[[#This Row],[RX Pdc (W)]])/Table1[[#This Row],[Array Aperture Size (cm2)]],"N/A")</f>
        <v>#VALUE!</v>
      </c>
      <c r="W134" s="1">
        <f>IF(OR(ISNUMBER(Table1[[#This Row],[TX Pdc (W)]]), ISNUMBER(Table1[[#This Row],[RX Pdc (W)]])),MAX(Table1[[#This Row],[TX Pdc (W)]],Table1[[#This Row],[RX Pdc (W)]])/(Table1[[#This Row],['# of Array Tile]]*Table1[[#This Row],['# of IC per Tile]])/(Table1[[#This Row],[Chip Size (mm2)]]*0.01),"N/A")</f>
        <v>3.0749999999999997</v>
      </c>
      <c r="X134" s="23"/>
      <c r="Y134" s="1">
        <v>1</v>
      </c>
      <c r="Z134" s="1" t="s">
        <v>27</v>
      </c>
      <c r="AA134" s="1">
        <v>1</v>
      </c>
      <c r="AB134" s="1">
        <v>1</v>
      </c>
      <c r="AC134" s="1" t="s">
        <v>27</v>
      </c>
      <c r="AD134" s="1"/>
      <c r="AE134" s="1">
        <v>1</v>
      </c>
      <c r="AF134" s="1" t="s">
        <v>27</v>
      </c>
      <c r="AG134" s="1" t="s">
        <v>27</v>
      </c>
      <c r="AH134" s="1" t="e">
        <f t="shared" si="50"/>
        <v>#VALUE!</v>
      </c>
      <c r="AI134" s="1" t="e">
        <f t="shared" si="51"/>
        <v>#VALUE!</v>
      </c>
      <c r="AJ134" s="1">
        <v>2</v>
      </c>
      <c r="AK134" s="1">
        <v>2</v>
      </c>
      <c r="AL134" s="1">
        <f>Table1[[#This Row],[Chip Size -X (mm)]]*Table1[[#This Row],[Chip Size - Y (mm)]]</f>
        <v>4</v>
      </c>
      <c r="AM134" s="1">
        <v>1.39</v>
      </c>
      <c r="AN134" s="1">
        <v>0.51</v>
      </c>
      <c r="AO134" s="1">
        <f t="shared" si="52"/>
        <v>1.4177999999999999</v>
      </c>
      <c r="AP134" s="2"/>
      <c r="AQ134" s="1"/>
      <c r="AR134" s="1"/>
      <c r="AS134" s="1"/>
      <c r="AT134" s="1">
        <v>12.4</v>
      </c>
      <c r="AU134" s="1">
        <v>19</v>
      </c>
      <c r="AV134" s="1"/>
      <c r="AW134" s="1">
        <v>123</v>
      </c>
      <c r="AX134" s="1"/>
    </row>
    <row r="135" spans="1:50" x14ac:dyDescent="0.2">
      <c r="A135" s="1" t="s">
        <v>14</v>
      </c>
      <c r="B135" s="1">
        <v>2023</v>
      </c>
      <c r="C135" s="1">
        <v>2</v>
      </c>
      <c r="D135" s="1" t="s">
        <v>169</v>
      </c>
      <c r="E135" s="29" t="s">
        <v>175</v>
      </c>
      <c r="F135" s="1" t="s">
        <v>33</v>
      </c>
      <c r="G135" s="1" t="s">
        <v>20</v>
      </c>
      <c r="H135" s="1">
        <v>65</v>
      </c>
      <c r="I135" s="1">
        <v>28</v>
      </c>
      <c r="J135" s="1">
        <f t="shared" si="41"/>
        <v>256</v>
      </c>
      <c r="K135" s="1">
        <v>2</v>
      </c>
      <c r="L135" s="1">
        <f t="shared" si="46"/>
        <v>0</v>
      </c>
      <c r="M135" s="1">
        <f t="shared" si="47"/>
        <v>256</v>
      </c>
      <c r="N135" s="1"/>
      <c r="O135" s="1">
        <v>2</v>
      </c>
      <c r="P135" s="1" t="s">
        <v>223</v>
      </c>
      <c r="Q135" s="1"/>
      <c r="R135" s="1" t="str">
        <f t="shared" si="45"/>
        <v/>
      </c>
      <c r="S135" s="25" t="str">
        <f t="shared" si="53"/>
        <v>N/A</v>
      </c>
      <c r="T135" s="1" t="str">
        <f t="shared" si="48"/>
        <v>N/A</v>
      </c>
      <c r="U135" s="1">
        <f t="shared" si="49"/>
        <v>0.75520000000000009</v>
      </c>
      <c r="V135" s="1" t="e">
        <f>IF(OR(ISNUMBER(Table1[[#This Row],[TX Pdc (W)]]), ISNUMBER(Table1[[#This Row],[RX Pdc (W)]])),MAX(Table1[[#This Row],[TX Pdc (W)]],Table1[[#This Row],[RX Pdc (W)]])/Table1[[#This Row],[Array Aperture Size (cm2)]],"N/A")</f>
        <v>#VALUE!</v>
      </c>
      <c r="W135" s="1">
        <f>IF(OR(ISNUMBER(Table1[[#This Row],[TX Pdc (W)]]), ISNUMBER(Table1[[#This Row],[RX Pdc (W)]])),MAX(Table1[[#This Row],[TX Pdc (W)]],Table1[[#This Row],[RX Pdc (W)]])/(Table1[[#This Row],['# of Array Tile]]*Table1[[#This Row],['# of IC per Tile]])/(Table1[[#This Row],[Chip Size (mm2)]]*0.01),"N/A")</f>
        <v>0.10727272727272728</v>
      </c>
      <c r="X135" s="23"/>
      <c r="Y135" s="1">
        <v>1</v>
      </c>
      <c r="Z135" s="1" t="s">
        <v>223</v>
      </c>
      <c r="AA135" s="1">
        <v>256</v>
      </c>
      <c r="AB135" s="1">
        <v>64</v>
      </c>
      <c r="AC135" s="1" t="s">
        <v>27</v>
      </c>
      <c r="AD135" s="1"/>
      <c r="AE135" s="1">
        <v>4</v>
      </c>
      <c r="AF135" s="1" t="s">
        <v>27</v>
      </c>
      <c r="AG135" s="1" t="s">
        <v>27</v>
      </c>
      <c r="AH135" s="1" t="e">
        <f t="shared" si="50"/>
        <v>#VALUE!</v>
      </c>
      <c r="AI135" s="1" t="e">
        <f t="shared" si="51"/>
        <v>#VALUE!</v>
      </c>
      <c r="AJ135" s="1">
        <v>4.4000000000000004</v>
      </c>
      <c r="AK135" s="1">
        <v>2.5</v>
      </c>
      <c r="AL135" s="1">
        <f>Table1[[#This Row],[Chip Size -X (mm)]]*Table1[[#This Row],[Chip Size - Y (mm)]]</f>
        <v>11</v>
      </c>
      <c r="AM135" s="1">
        <v>3.83</v>
      </c>
      <c r="AN135" s="1">
        <v>2.25</v>
      </c>
      <c r="AO135" s="1">
        <f t="shared" si="52"/>
        <v>4.3087499999999999</v>
      </c>
      <c r="AP135" s="2"/>
      <c r="AQ135" s="1"/>
      <c r="AR135" s="1"/>
      <c r="AS135" s="1"/>
      <c r="AT135" s="1">
        <v>3.6</v>
      </c>
      <c r="AU135" s="1">
        <v>26</v>
      </c>
      <c r="AV135" s="1"/>
      <c r="AW135" s="1">
        <v>2.95</v>
      </c>
      <c r="AX135" s="1"/>
    </row>
    <row r="136" spans="1:50" x14ac:dyDescent="0.2">
      <c r="A136" s="1" t="s">
        <v>14</v>
      </c>
      <c r="B136" s="1">
        <v>2023</v>
      </c>
      <c r="C136" s="1">
        <v>2</v>
      </c>
      <c r="D136" s="1" t="s">
        <v>47</v>
      </c>
      <c r="E136" s="29" t="s">
        <v>174</v>
      </c>
      <c r="F136" s="1" t="s">
        <v>26</v>
      </c>
      <c r="G136" s="1" t="s">
        <v>20</v>
      </c>
      <c r="H136" s="1">
        <v>28</v>
      </c>
      <c r="I136" s="1">
        <v>607</v>
      </c>
      <c r="J136" s="1">
        <f t="shared" si="41"/>
        <v>16</v>
      </c>
      <c r="K136" s="1">
        <v>2</v>
      </c>
      <c r="L136" s="1">
        <f t="shared" si="46"/>
        <v>0</v>
      </c>
      <c r="M136" s="1">
        <f t="shared" si="47"/>
        <v>16</v>
      </c>
      <c r="N136" s="1"/>
      <c r="O136" s="1">
        <v>1</v>
      </c>
      <c r="P136" s="1" t="s">
        <v>218</v>
      </c>
      <c r="Q136" s="1"/>
      <c r="R136" s="1" t="str">
        <f t="shared" si="45"/>
        <v/>
      </c>
      <c r="S136" s="25" t="str">
        <f t="shared" si="53"/>
        <v>N/A</v>
      </c>
      <c r="T136" s="1" t="str">
        <f t="shared" si="48"/>
        <v>N/A</v>
      </c>
      <c r="U136" s="1" t="str">
        <f t="shared" si="49"/>
        <v>N/A</v>
      </c>
      <c r="V136" s="1" t="str">
        <f>IF(OR(ISNUMBER(Table1[[#This Row],[TX Pdc (W)]]), ISNUMBER(Table1[[#This Row],[RX Pdc (W)]])),MAX(Table1[[#This Row],[TX Pdc (W)]],Table1[[#This Row],[RX Pdc (W)]])/Table1[[#This Row],[Array Aperture Size (cm2)]],"N/A")</f>
        <v>N/A</v>
      </c>
      <c r="W136" s="1" t="str">
        <f>IF(OR(ISNUMBER(Table1[[#This Row],[TX Pdc (W)]]), ISNUMBER(Table1[[#This Row],[RX Pdc (W)]])),MAX(Table1[[#This Row],[TX Pdc (W)]],Table1[[#This Row],[RX Pdc (W)]])/(Table1[[#This Row],['# of Array Tile]]*Table1[[#This Row],['# of IC per Tile]])/(Table1[[#This Row],[Chip Size (mm2)]]*0.01),"N/A")</f>
        <v>N/A</v>
      </c>
      <c r="X136" s="23"/>
      <c r="Y136" s="1">
        <v>1</v>
      </c>
      <c r="Z136" s="1" t="s">
        <v>230</v>
      </c>
      <c r="AA136" s="1">
        <v>16</v>
      </c>
      <c r="AB136" s="1">
        <v>1</v>
      </c>
      <c r="AC136" s="1" t="s">
        <v>27</v>
      </c>
      <c r="AD136" s="1"/>
      <c r="AE136" s="1">
        <v>16</v>
      </c>
      <c r="AF136" s="1" t="s">
        <v>27</v>
      </c>
      <c r="AG136" s="1" t="s">
        <v>27</v>
      </c>
      <c r="AH136" s="1" t="e">
        <f t="shared" si="50"/>
        <v>#VALUE!</v>
      </c>
      <c r="AI136" s="1" t="e">
        <f t="shared" si="51"/>
        <v>#VALUE!</v>
      </c>
      <c r="AJ136" s="1">
        <v>1.0349999999999999</v>
      </c>
      <c r="AK136" s="1">
        <v>1.0349999999999999</v>
      </c>
      <c r="AL136" s="1">
        <f>Table1[[#This Row],[Chip Size -X (mm)]]*Table1[[#This Row],[Chip Size - Y (mm)]]</f>
        <v>1.0712249999999999</v>
      </c>
      <c r="AM136" s="1">
        <v>0.79</v>
      </c>
      <c r="AN136" s="1">
        <v>0.79</v>
      </c>
      <c r="AO136" s="1">
        <f t="shared" si="52"/>
        <v>7.8012500000000012E-2</v>
      </c>
      <c r="AP136" s="2"/>
      <c r="AQ136" s="1"/>
      <c r="AR136" s="1"/>
      <c r="AS136" s="1"/>
      <c r="AT136" s="1"/>
      <c r="AU136" s="1"/>
      <c r="AV136" s="1"/>
      <c r="AW136" s="1"/>
      <c r="AX136" s="1"/>
    </row>
    <row r="137" spans="1:50" x14ac:dyDescent="0.2">
      <c r="A137" s="1" t="s">
        <v>14</v>
      </c>
      <c r="B137" s="1">
        <v>2023</v>
      </c>
      <c r="C137" s="1">
        <v>2</v>
      </c>
      <c r="D137" s="1" t="s">
        <v>179</v>
      </c>
      <c r="E137" s="29" t="s">
        <v>178</v>
      </c>
      <c r="F137" s="1" t="s">
        <v>41</v>
      </c>
      <c r="G137" s="1" t="s">
        <v>20</v>
      </c>
      <c r="H137" s="1">
        <v>65</v>
      </c>
      <c r="I137" s="1">
        <v>26.26</v>
      </c>
      <c r="J137" s="1">
        <f t="shared" si="41"/>
        <v>256</v>
      </c>
      <c r="K137" s="1">
        <v>2</v>
      </c>
      <c r="L137" s="1">
        <f t="shared" si="46"/>
        <v>256</v>
      </c>
      <c r="M137" s="1">
        <f t="shared" si="47"/>
        <v>0</v>
      </c>
      <c r="N137" s="1">
        <v>2</v>
      </c>
      <c r="O137" s="1"/>
      <c r="P137" s="1" t="s">
        <v>223</v>
      </c>
      <c r="Q137" s="1">
        <v>63.8</v>
      </c>
      <c r="R137" s="1">
        <f t="shared" si="45"/>
        <v>256</v>
      </c>
      <c r="S137" s="25">
        <f t="shared" si="53"/>
        <v>34.082399653118493</v>
      </c>
      <c r="T137" s="1">
        <v>26.6</v>
      </c>
      <c r="U137" s="1" t="str">
        <f t="shared" si="49"/>
        <v>N/A</v>
      </c>
      <c r="V137" s="1" t="e">
        <f>IF(OR(ISNUMBER(Table1[[#This Row],[TX Pdc (W)]]), ISNUMBER(Table1[[#This Row],[RX Pdc (W)]])),MAX(Table1[[#This Row],[TX Pdc (W)]],Table1[[#This Row],[RX Pdc (W)]])/Table1[[#This Row],[Array Aperture Size (cm2)]],"N/A")</f>
        <v>#VALUE!</v>
      </c>
      <c r="W137" s="1">
        <f>IF(OR(ISNUMBER(Table1[[#This Row],[TX Pdc (W)]]), ISNUMBER(Table1[[#This Row],[RX Pdc (W)]])),MAX(Table1[[#This Row],[TX Pdc (W)]],Table1[[#This Row],[RX Pdc (W)]])/(Table1[[#This Row],['# of Array Tile]]*Table1[[#This Row],['# of IC per Tile]])/(Table1[[#This Row],[Chip Size (mm2)]]*0.01),"N/A")</f>
        <v>3.7784090909090913</v>
      </c>
      <c r="X137" s="23"/>
      <c r="Y137" s="1">
        <v>1</v>
      </c>
      <c r="Z137" s="1" t="s">
        <v>223</v>
      </c>
      <c r="AA137" s="1">
        <v>256</v>
      </c>
      <c r="AB137" s="1">
        <v>64</v>
      </c>
      <c r="AC137" s="1" t="s">
        <v>27</v>
      </c>
      <c r="AD137" s="1">
        <v>4</v>
      </c>
      <c r="AE137" s="1"/>
      <c r="AF137" s="1" t="s">
        <v>27</v>
      </c>
      <c r="AG137" s="1" t="s">
        <v>27</v>
      </c>
      <c r="AH137" s="1" t="e">
        <f t="shared" si="50"/>
        <v>#VALUE!</v>
      </c>
      <c r="AI137" s="1" t="e">
        <f t="shared" si="51"/>
        <v>#VALUE!</v>
      </c>
      <c r="AJ137" s="1">
        <v>4.4000000000000004</v>
      </c>
      <c r="AK137" s="1">
        <v>2.5</v>
      </c>
      <c r="AL137" s="1">
        <f>Table1[[#This Row],[Chip Size -X (mm)]]*Table1[[#This Row],[Chip Size - Y (mm)]]</f>
        <v>11</v>
      </c>
      <c r="AM137" s="1">
        <v>3.82</v>
      </c>
      <c r="AN137" s="1">
        <v>1.84</v>
      </c>
      <c r="AO137" s="1">
        <f t="shared" si="52"/>
        <v>3.5144000000000002</v>
      </c>
      <c r="AP137" s="2"/>
      <c r="AQ137" s="1">
        <v>10</v>
      </c>
      <c r="AR137" s="1"/>
      <c r="AS137" s="1">
        <v>26</v>
      </c>
      <c r="AT137" s="1"/>
      <c r="AU137" s="1"/>
      <c r="AV137" s="1">
        <v>44.9</v>
      </c>
      <c r="AW137" s="1"/>
      <c r="AX137" s="1"/>
    </row>
    <row r="138" spans="1:50" x14ac:dyDescent="0.2">
      <c r="A138" s="1" t="s">
        <v>14</v>
      </c>
      <c r="B138" s="1">
        <v>2023</v>
      </c>
      <c r="C138" s="1">
        <v>2</v>
      </c>
      <c r="D138" s="1" t="s">
        <v>131</v>
      </c>
      <c r="E138" s="29" t="s">
        <v>170</v>
      </c>
      <c r="F138" s="1" t="s">
        <v>41</v>
      </c>
      <c r="G138" s="1" t="s">
        <v>20</v>
      </c>
      <c r="H138" s="1">
        <v>40</v>
      </c>
      <c r="I138" s="1">
        <v>90</v>
      </c>
      <c r="J138" s="1">
        <f t="shared" si="41"/>
        <v>1</v>
      </c>
      <c r="K138" s="1" t="s">
        <v>27</v>
      </c>
      <c r="L138" s="1">
        <f t="shared" si="46"/>
        <v>1</v>
      </c>
      <c r="M138" s="1">
        <f t="shared" si="47"/>
        <v>0</v>
      </c>
      <c r="N138" s="1">
        <v>1</v>
      </c>
      <c r="O138" s="1"/>
      <c r="P138" s="1" t="s">
        <v>222</v>
      </c>
      <c r="Q138" s="1"/>
      <c r="R138" s="1" t="str">
        <f t="shared" si="45"/>
        <v/>
      </c>
      <c r="S138" s="25">
        <f t="shared" si="53"/>
        <v>10</v>
      </c>
      <c r="T138" s="1">
        <f>IF(AV138="","N/A",AV138*AD138*AB138*Y138/1000)</f>
        <v>0.16</v>
      </c>
      <c r="U138" s="1" t="str">
        <f t="shared" si="49"/>
        <v>N/A</v>
      </c>
      <c r="V138" s="1" t="e">
        <f>IF(OR(ISNUMBER(Table1[[#This Row],[TX Pdc (W)]]), ISNUMBER(Table1[[#This Row],[RX Pdc (W)]])),MAX(Table1[[#This Row],[TX Pdc (W)]],Table1[[#This Row],[RX Pdc (W)]])/Table1[[#This Row],[Array Aperture Size (cm2)]],"N/A")</f>
        <v>#VALUE!</v>
      </c>
      <c r="W138" s="1">
        <f>IF(OR(ISNUMBER(Table1[[#This Row],[TX Pdc (W)]]), ISNUMBER(Table1[[#This Row],[RX Pdc (W)]])),MAX(Table1[[#This Row],[TX Pdc (W)]],Table1[[#This Row],[RX Pdc (W)]])/(Table1[[#This Row],['# of Array Tile]]*Table1[[#This Row],['# of IC per Tile]])/(Table1[[#This Row],[Chip Size (mm2)]]*0.01),"N/A")</f>
        <v>18.71345029239766</v>
      </c>
      <c r="X138" s="23"/>
      <c r="Y138" s="1">
        <v>1</v>
      </c>
      <c r="Z138" s="1" t="s">
        <v>27</v>
      </c>
      <c r="AA138" s="1" t="s">
        <v>27</v>
      </c>
      <c r="AB138" s="1">
        <v>1</v>
      </c>
      <c r="AC138" s="1" t="s">
        <v>27</v>
      </c>
      <c r="AD138" s="1">
        <v>1</v>
      </c>
      <c r="AE138" s="1"/>
      <c r="AF138" s="1" t="s">
        <v>27</v>
      </c>
      <c r="AG138" s="1" t="s">
        <v>27</v>
      </c>
      <c r="AH138" s="1" t="e">
        <f t="shared" si="50"/>
        <v>#VALUE!</v>
      </c>
      <c r="AI138" s="1" t="e">
        <f t="shared" si="51"/>
        <v>#VALUE!</v>
      </c>
      <c r="AJ138" s="1">
        <v>1.9</v>
      </c>
      <c r="AK138" s="1">
        <v>0.45</v>
      </c>
      <c r="AL138" s="1">
        <f>Table1[[#This Row],[Chip Size -X (mm)]]*Table1[[#This Row],[Chip Size - Y (mm)]]</f>
        <v>0.85499999999999998</v>
      </c>
      <c r="AM138" s="1">
        <v>1.48</v>
      </c>
      <c r="AN138" s="1">
        <v>0.21</v>
      </c>
      <c r="AO138" s="1">
        <f t="shared" si="52"/>
        <v>0.62159999999999993</v>
      </c>
      <c r="AP138" s="2"/>
      <c r="AQ138" s="1">
        <v>10</v>
      </c>
      <c r="AR138" s="1"/>
      <c r="AS138" s="1"/>
      <c r="AT138" s="1"/>
      <c r="AU138" s="1"/>
      <c r="AV138" s="1">
        <v>160</v>
      </c>
      <c r="AW138" s="1"/>
      <c r="AX138" s="1"/>
    </row>
    <row r="139" spans="1:50" x14ac:dyDescent="0.2">
      <c r="A139" s="1" t="s">
        <v>14</v>
      </c>
      <c r="B139" s="1">
        <v>2023</v>
      </c>
      <c r="C139" s="1">
        <v>2</v>
      </c>
      <c r="D139" s="1" t="s">
        <v>131</v>
      </c>
      <c r="E139" s="29" t="s">
        <v>170</v>
      </c>
      <c r="F139" s="1" t="s">
        <v>33</v>
      </c>
      <c r="G139" s="1" t="s">
        <v>20</v>
      </c>
      <c r="H139" s="1">
        <v>40</v>
      </c>
      <c r="I139" s="1">
        <v>90</v>
      </c>
      <c r="J139" s="1">
        <f t="shared" si="41"/>
        <v>4</v>
      </c>
      <c r="K139" s="1">
        <v>2</v>
      </c>
      <c r="L139" s="1">
        <f t="shared" si="46"/>
        <v>0</v>
      </c>
      <c r="M139" s="1">
        <f t="shared" si="47"/>
        <v>4</v>
      </c>
      <c r="N139" s="1"/>
      <c r="O139" s="1">
        <v>1</v>
      </c>
      <c r="P139" s="1" t="s">
        <v>222</v>
      </c>
      <c r="Q139" s="1"/>
      <c r="R139" s="1" t="str">
        <f t="shared" si="45"/>
        <v/>
      </c>
      <c r="S139" s="25" t="str">
        <f t="shared" si="53"/>
        <v>N/A</v>
      </c>
      <c r="T139" s="1" t="str">
        <f>IF(AV139="","N/A",AV139*AD139*AB139*Y139/1000)</f>
        <v>N/A</v>
      </c>
      <c r="U139" s="1">
        <f t="shared" si="49"/>
        <v>1.68</v>
      </c>
      <c r="V139" s="1" t="e">
        <f>IF(OR(ISNUMBER(Table1[[#This Row],[TX Pdc (W)]]), ISNUMBER(Table1[[#This Row],[RX Pdc (W)]])),MAX(Table1[[#This Row],[TX Pdc (W)]],Table1[[#This Row],[RX Pdc (W)]])/Table1[[#This Row],[Array Aperture Size (cm2)]],"N/A")</f>
        <v>#VALUE!</v>
      </c>
      <c r="W139" s="1">
        <f>IF(OR(ISNUMBER(Table1[[#This Row],[TX Pdc (W)]]), ISNUMBER(Table1[[#This Row],[RX Pdc (W)]])),MAX(Table1[[#This Row],[TX Pdc (W)]],Table1[[#This Row],[RX Pdc (W)]])/(Table1[[#This Row],['# of Array Tile]]*Table1[[#This Row],['# of IC per Tile]])/(Table1[[#This Row],[Chip Size (mm2)]]*0.01),"N/A")</f>
        <v>70.175438596491233</v>
      </c>
      <c r="X139" s="23"/>
      <c r="Y139" s="1">
        <v>1</v>
      </c>
      <c r="Z139" s="1" t="s">
        <v>27</v>
      </c>
      <c r="AA139" s="1" t="s">
        <v>27</v>
      </c>
      <c r="AB139" s="1">
        <v>1</v>
      </c>
      <c r="AC139" s="1" t="s">
        <v>27</v>
      </c>
      <c r="AD139" s="1"/>
      <c r="AE139" s="1">
        <v>4</v>
      </c>
      <c r="AF139" s="1" t="s">
        <v>27</v>
      </c>
      <c r="AG139" s="1" t="s">
        <v>27</v>
      </c>
      <c r="AH139" s="1" t="e">
        <f t="shared" si="50"/>
        <v>#VALUE!</v>
      </c>
      <c r="AI139" s="1" t="e">
        <f t="shared" si="51"/>
        <v>#VALUE!</v>
      </c>
      <c r="AJ139" s="1">
        <v>1.9</v>
      </c>
      <c r="AK139" s="1">
        <v>1.26</v>
      </c>
      <c r="AL139" s="1">
        <f>Table1[[#This Row],[Chip Size -X (mm)]]*Table1[[#This Row],[Chip Size - Y (mm)]]</f>
        <v>2.3939999999999997</v>
      </c>
      <c r="AM139" s="1">
        <v>1.7</v>
      </c>
      <c r="AN139" s="1">
        <v>1.07</v>
      </c>
      <c r="AO139" s="1">
        <f t="shared" si="52"/>
        <v>0.90949999999999998</v>
      </c>
      <c r="AP139" s="2"/>
      <c r="AQ139" s="1"/>
      <c r="AR139" s="1"/>
      <c r="AS139" s="1"/>
      <c r="AT139" s="1">
        <v>11.3</v>
      </c>
      <c r="AU139" s="1"/>
      <c r="AV139" s="1"/>
      <c r="AW139" s="1">
        <v>420</v>
      </c>
      <c r="AX139" s="1"/>
    </row>
    <row r="140" spans="1:50" x14ac:dyDescent="0.2">
      <c r="A140" s="1" t="s">
        <v>14</v>
      </c>
      <c r="B140" s="1">
        <v>2023</v>
      </c>
      <c r="C140" s="1">
        <v>2</v>
      </c>
      <c r="D140" s="1" t="s">
        <v>90</v>
      </c>
      <c r="E140" s="29" t="s">
        <v>177</v>
      </c>
      <c r="F140" s="1" t="s">
        <v>151</v>
      </c>
      <c r="G140" s="1" t="s">
        <v>158</v>
      </c>
      <c r="H140" s="1">
        <v>22</v>
      </c>
      <c r="I140" s="1">
        <v>260</v>
      </c>
      <c r="J140" s="1">
        <f t="shared" si="41"/>
        <v>8</v>
      </c>
      <c r="K140" s="1">
        <v>2</v>
      </c>
      <c r="L140" s="1">
        <f t="shared" si="46"/>
        <v>4</v>
      </c>
      <c r="M140" s="1">
        <f t="shared" si="47"/>
        <v>4</v>
      </c>
      <c r="N140" s="1">
        <v>1</v>
      </c>
      <c r="O140" s="1">
        <v>1</v>
      </c>
      <c r="P140" s="1" t="s">
        <v>218</v>
      </c>
      <c r="Q140" s="1"/>
      <c r="R140" s="1" t="str">
        <f t="shared" si="45"/>
        <v/>
      </c>
      <c r="S140" s="25" t="str">
        <f t="shared" si="53"/>
        <v>N/A</v>
      </c>
      <c r="T140" s="1">
        <v>4.5699999999999998E-7</v>
      </c>
      <c r="U140" s="1">
        <v>1.49E-7</v>
      </c>
      <c r="V140" s="1" t="e">
        <f>IF(OR(ISNUMBER(Table1[[#This Row],[TX Pdc (W)]]), ISNUMBER(Table1[[#This Row],[RX Pdc (W)]])),MAX(Table1[[#This Row],[TX Pdc (W)]],Table1[[#This Row],[RX Pdc (W)]])/Table1[[#This Row],[Array Aperture Size (cm2)]],"N/A")</f>
        <v>#VALUE!</v>
      </c>
      <c r="W140" s="1">
        <f>IF(OR(ISNUMBER(Table1[[#This Row],[TX Pdc (W)]]), ISNUMBER(Table1[[#This Row],[RX Pdc (W)]])),MAX(Table1[[#This Row],[TX Pdc (W)]],Table1[[#This Row],[RX Pdc (W)]])/(Table1[[#This Row],['# of Array Tile]]*Table1[[#This Row],['# of IC per Tile]])/(Table1[[#This Row],[Chip Size (mm2)]]*0.01),"N/A")</f>
        <v>8.2789855072463772E-6</v>
      </c>
      <c r="X140" s="23"/>
      <c r="Y140" s="1">
        <v>1</v>
      </c>
      <c r="Z140" s="1" t="s">
        <v>218</v>
      </c>
      <c r="AA140" s="1">
        <v>4</v>
      </c>
      <c r="AB140" s="1">
        <v>1</v>
      </c>
      <c r="AC140" s="1" t="s">
        <v>309</v>
      </c>
      <c r="AD140" s="1">
        <v>4</v>
      </c>
      <c r="AE140" s="1">
        <v>4</v>
      </c>
      <c r="AF140" s="1" t="s">
        <v>27</v>
      </c>
      <c r="AG140" s="1" t="s">
        <v>27</v>
      </c>
      <c r="AH140" s="1" t="e">
        <f t="shared" si="50"/>
        <v>#VALUE!</v>
      </c>
      <c r="AI140" s="1" t="e">
        <f t="shared" si="51"/>
        <v>#VALUE!</v>
      </c>
      <c r="AJ140" s="1">
        <v>2.4</v>
      </c>
      <c r="AK140" s="1">
        <v>2.2999999999999998</v>
      </c>
      <c r="AL140" s="1">
        <f>Table1[[#This Row],[Chip Size -X (mm)]]*Table1[[#This Row],[Chip Size - Y (mm)]]</f>
        <v>5.52</v>
      </c>
      <c r="AM140" s="1">
        <v>1.55</v>
      </c>
      <c r="AN140" s="1">
        <v>1.83</v>
      </c>
      <c r="AO140" s="1">
        <f t="shared" si="52"/>
        <v>0.70912500000000001</v>
      </c>
      <c r="AP140" s="2"/>
      <c r="AQ140" s="1"/>
      <c r="AR140" s="1"/>
      <c r="AS140" s="1"/>
      <c r="AT140" s="1"/>
      <c r="AU140" s="1"/>
      <c r="AV140" s="1"/>
      <c r="AW140" s="1"/>
      <c r="AX140" s="1"/>
    </row>
    <row r="141" spans="1:50" x14ac:dyDescent="0.2">
      <c r="A141" s="1" t="s">
        <v>49</v>
      </c>
      <c r="B141" s="1">
        <v>2023</v>
      </c>
      <c r="C141" s="1">
        <v>3</v>
      </c>
      <c r="D141" s="1" t="s">
        <v>148</v>
      </c>
      <c r="E141" s="29" t="s">
        <v>147</v>
      </c>
      <c r="F141" s="1" t="s">
        <v>77</v>
      </c>
      <c r="G141" s="1" t="s">
        <v>20</v>
      </c>
      <c r="H141" s="1">
        <v>65</v>
      </c>
      <c r="I141" s="1">
        <v>35</v>
      </c>
      <c r="J141" s="1">
        <f t="shared" si="41"/>
        <v>8</v>
      </c>
      <c r="K141" s="1">
        <v>2</v>
      </c>
      <c r="L141" s="1">
        <f t="shared" si="46"/>
        <v>4</v>
      </c>
      <c r="M141" s="1">
        <f t="shared" si="47"/>
        <v>4</v>
      </c>
      <c r="N141" s="1">
        <v>1</v>
      </c>
      <c r="O141" s="1">
        <v>1</v>
      </c>
      <c r="P141" s="1" t="s">
        <v>222</v>
      </c>
      <c r="Q141" s="1"/>
      <c r="R141" s="1" t="str">
        <f t="shared" si="45"/>
        <v/>
      </c>
      <c r="S141" s="25">
        <f t="shared" si="53"/>
        <v>25.820599913279626</v>
      </c>
      <c r="T141" s="1">
        <f t="shared" ref="T141:T147" si="54">IF(AV141="","N/A",AV141*AD141*AB141*Y141/1000)</f>
        <v>1.984</v>
      </c>
      <c r="U141" s="1">
        <f t="shared" ref="U141:U147" si="55">IF(AW141="","N/A",AW141*AE141*AB141*Y141/1000)</f>
        <v>0.65600000000000003</v>
      </c>
      <c r="V141" s="1" t="e">
        <f>IF(OR(ISNUMBER(Table1[[#This Row],[TX Pdc (W)]]), ISNUMBER(Table1[[#This Row],[RX Pdc (W)]])),MAX(Table1[[#This Row],[TX Pdc (W)]],Table1[[#This Row],[RX Pdc (W)]])/Table1[[#This Row],[Array Aperture Size (cm2)]],"N/A")</f>
        <v>#VALUE!</v>
      </c>
      <c r="W141" s="1">
        <f>IF(OR(ISNUMBER(Table1[[#This Row],[TX Pdc (W)]]), ISNUMBER(Table1[[#This Row],[RX Pdc (W)]])),MAX(Table1[[#This Row],[TX Pdc (W)]],Table1[[#This Row],[RX Pdc (W)]])/(Table1[[#This Row],['# of Array Tile]]*Table1[[#This Row],['# of IC per Tile]])/(Table1[[#This Row],[Chip Size (mm2)]]*0.01),"N/A")</f>
        <v>7.6543209876543195</v>
      </c>
      <c r="X141" s="23"/>
      <c r="Y141" s="1">
        <v>1</v>
      </c>
      <c r="Z141" s="1" t="s">
        <v>27</v>
      </c>
      <c r="AA141" s="1" t="s">
        <v>27</v>
      </c>
      <c r="AB141" s="1">
        <v>1</v>
      </c>
      <c r="AC141" s="1" t="s">
        <v>309</v>
      </c>
      <c r="AD141" s="1">
        <v>4</v>
      </c>
      <c r="AE141" s="1">
        <v>4</v>
      </c>
      <c r="AF141" s="1" t="s">
        <v>27</v>
      </c>
      <c r="AG141" s="1" t="s">
        <v>27</v>
      </c>
      <c r="AH141" s="1" t="e">
        <f t="shared" si="50"/>
        <v>#VALUE!</v>
      </c>
      <c r="AI141" s="1" t="e">
        <f t="shared" si="51"/>
        <v>#VALUE!</v>
      </c>
      <c r="AJ141" s="1">
        <v>7.2</v>
      </c>
      <c r="AK141" s="1">
        <v>3.6</v>
      </c>
      <c r="AL141" s="1">
        <f>Table1[[#This Row],[Chip Size -X (mm)]]*Table1[[#This Row],[Chip Size - Y (mm)]]</f>
        <v>25.92</v>
      </c>
      <c r="AM141" s="1">
        <v>7.04</v>
      </c>
      <c r="AN141" s="1">
        <v>2.66</v>
      </c>
      <c r="AO141" s="1">
        <f t="shared" si="52"/>
        <v>4.6816000000000004</v>
      </c>
      <c r="AP141" s="2"/>
      <c r="AQ141" s="1">
        <v>19.8</v>
      </c>
      <c r="AR141" s="1"/>
      <c r="AS141" s="1">
        <v>44</v>
      </c>
      <c r="AT141" s="1">
        <v>4.2</v>
      </c>
      <c r="AU141" s="1">
        <v>26</v>
      </c>
      <c r="AV141" s="1">
        <v>496</v>
      </c>
      <c r="AW141" s="1">
        <v>164</v>
      </c>
      <c r="AX141" s="1"/>
    </row>
    <row r="142" spans="1:50" x14ac:dyDescent="0.2">
      <c r="A142" s="1" t="s">
        <v>49</v>
      </c>
      <c r="B142" s="1">
        <v>2023</v>
      </c>
      <c r="C142" s="1">
        <v>3</v>
      </c>
      <c r="D142" s="1" t="s">
        <v>155</v>
      </c>
      <c r="E142" s="29" t="s">
        <v>154</v>
      </c>
      <c r="F142" s="1" t="s">
        <v>35</v>
      </c>
      <c r="G142" s="1" t="s">
        <v>20</v>
      </c>
      <c r="H142" s="1">
        <v>65</v>
      </c>
      <c r="I142" s="1">
        <v>5.8</v>
      </c>
      <c r="J142" s="1">
        <f t="shared" si="41"/>
        <v>12</v>
      </c>
      <c r="K142" s="1">
        <v>2</v>
      </c>
      <c r="L142" s="1">
        <f t="shared" si="46"/>
        <v>4</v>
      </c>
      <c r="M142" s="1">
        <f t="shared" si="47"/>
        <v>8</v>
      </c>
      <c r="N142" s="1">
        <v>1</v>
      </c>
      <c r="O142" s="1">
        <v>1</v>
      </c>
      <c r="P142" s="1" t="s">
        <v>223</v>
      </c>
      <c r="Q142" s="1"/>
      <c r="R142" s="1" t="str">
        <f t="shared" si="45"/>
        <v/>
      </c>
      <c r="S142" s="25">
        <f t="shared" si="53"/>
        <v>23.020599913279625</v>
      </c>
      <c r="T142" s="1" t="str">
        <f t="shared" si="54"/>
        <v>N/A</v>
      </c>
      <c r="U142" s="1" t="str">
        <f t="shared" si="55"/>
        <v>N/A</v>
      </c>
      <c r="V142" s="1" t="str">
        <f>IF(OR(ISNUMBER(Table1[[#This Row],[TX Pdc (W)]]), ISNUMBER(Table1[[#This Row],[RX Pdc (W)]])),MAX(Table1[[#This Row],[TX Pdc (W)]],Table1[[#This Row],[RX Pdc (W)]])/Table1[[#This Row],[Array Aperture Size (cm2)]],"N/A")</f>
        <v>N/A</v>
      </c>
      <c r="W142" s="1" t="str">
        <f>IF(OR(ISNUMBER(Table1[[#This Row],[TX Pdc (W)]]), ISNUMBER(Table1[[#This Row],[RX Pdc (W)]])),MAX(Table1[[#This Row],[TX Pdc (W)]],Table1[[#This Row],[RX Pdc (W)]])/(Table1[[#This Row],['# of Array Tile]]*Table1[[#This Row],['# of IC per Tile]])/(Table1[[#This Row],[Chip Size (mm2)]]*0.01),"N/A")</f>
        <v>N/A</v>
      </c>
      <c r="X142" s="23"/>
      <c r="Y142" s="1">
        <v>1</v>
      </c>
      <c r="Z142" s="1" t="s">
        <v>223</v>
      </c>
      <c r="AA142" s="1">
        <v>12</v>
      </c>
      <c r="AB142" s="1">
        <v>1</v>
      </c>
      <c r="AC142" s="1" t="s">
        <v>310</v>
      </c>
      <c r="AD142" s="1">
        <v>4</v>
      </c>
      <c r="AE142" s="1">
        <v>8</v>
      </c>
      <c r="AF142" s="1">
        <v>1.0549999999999999</v>
      </c>
      <c r="AG142" s="1">
        <f>4.55+1.63</f>
        <v>6.18</v>
      </c>
      <c r="AH142" s="1">
        <f t="shared" si="50"/>
        <v>6.5198999999999989</v>
      </c>
      <c r="AI142" s="1">
        <f t="shared" si="51"/>
        <v>54.332499999999989</v>
      </c>
      <c r="AJ142" s="1">
        <v>2.2999999999999998</v>
      </c>
      <c r="AK142" s="1">
        <v>1.5</v>
      </c>
      <c r="AL142" s="1">
        <f>Table1[[#This Row],[Chip Size -X (mm)]]*Table1[[#This Row],[Chip Size - Y (mm)]]</f>
        <v>3.4499999999999997</v>
      </c>
      <c r="AM142" s="1">
        <v>2.02</v>
      </c>
      <c r="AN142" s="1">
        <v>1.1000000000000001</v>
      </c>
      <c r="AO142" s="1">
        <f t="shared" si="52"/>
        <v>0.3703333333333334</v>
      </c>
      <c r="AP142" s="2"/>
      <c r="AQ142" s="1">
        <v>17</v>
      </c>
      <c r="AR142" s="1"/>
      <c r="AS142" s="1"/>
      <c r="AT142" s="1">
        <v>11.8</v>
      </c>
      <c r="AU142" s="1">
        <v>47</v>
      </c>
      <c r="AV142" s="1"/>
      <c r="AW142" s="1"/>
      <c r="AX142" s="1"/>
    </row>
    <row r="143" spans="1:50" x14ac:dyDescent="0.2">
      <c r="A143" s="1" t="s">
        <v>49</v>
      </c>
      <c r="B143" s="1">
        <v>2023</v>
      </c>
      <c r="C143" s="1">
        <v>3</v>
      </c>
      <c r="D143" s="1" t="s">
        <v>90</v>
      </c>
      <c r="E143" s="29" t="s">
        <v>153</v>
      </c>
      <c r="F143" s="1" t="s">
        <v>35</v>
      </c>
      <c r="G143" s="1" t="s">
        <v>17</v>
      </c>
      <c r="H143" s="1"/>
      <c r="I143" s="1">
        <v>39</v>
      </c>
      <c r="J143" s="1">
        <f t="shared" si="41"/>
        <v>32</v>
      </c>
      <c r="K143" s="1">
        <v>2</v>
      </c>
      <c r="L143" s="1">
        <f t="shared" si="46"/>
        <v>16</v>
      </c>
      <c r="M143" s="1">
        <f t="shared" si="47"/>
        <v>16</v>
      </c>
      <c r="N143" s="1">
        <v>1</v>
      </c>
      <c r="O143" s="1">
        <v>1</v>
      </c>
      <c r="P143" s="1" t="s">
        <v>223</v>
      </c>
      <c r="Q143" s="1">
        <v>30</v>
      </c>
      <c r="R143" s="1">
        <f t="shared" si="45"/>
        <v>8</v>
      </c>
      <c r="S143" s="25">
        <f t="shared" si="53"/>
        <v>25.04119982655925</v>
      </c>
      <c r="T143" s="1">
        <f t="shared" si="54"/>
        <v>4.4800000000000004</v>
      </c>
      <c r="U143" s="1">
        <f t="shared" si="55"/>
        <v>3.2</v>
      </c>
      <c r="V143" s="1">
        <f>IF(OR(ISNUMBER(Table1[[#This Row],[TX Pdc (W)]]), ISNUMBER(Table1[[#This Row],[RX Pdc (W)]])),MAX(Table1[[#This Row],[TX Pdc (W)]],Table1[[#This Row],[RX Pdc (W)]])/Table1[[#This Row],[Array Aperture Size (cm2)]],"N/A")</f>
        <v>4.7781569965870307</v>
      </c>
      <c r="W143" s="1">
        <f>IF(OR(ISNUMBER(Table1[[#This Row],[TX Pdc (W)]]), ISNUMBER(Table1[[#This Row],[RX Pdc (W)]])),MAX(Table1[[#This Row],[TX Pdc (W)]],Table1[[#This Row],[RX Pdc (W)]])/(Table1[[#This Row],['# of Array Tile]]*Table1[[#This Row],['# of IC per Tile]])/(Table1[[#This Row],[Chip Size (mm2)]]*0.01),"N/A")</f>
        <v>9.9290780141843982</v>
      </c>
      <c r="X143" s="23"/>
      <c r="Y143" s="1">
        <v>1</v>
      </c>
      <c r="Z143" s="1" t="s">
        <v>223</v>
      </c>
      <c r="AA143" s="1">
        <v>8</v>
      </c>
      <c r="AB143" s="1">
        <v>4</v>
      </c>
      <c r="AC143" s="1" t="s">
        <v>309</v>
      </c>
      <c r="AD143" s="1">
        <v>4</v>
      </c>
      <c r="AE143" s="1">
        <v>4</v>
      </c>
      <c r="AF143" s="1">
        <v>1.4650000000000001</v>
      </c>
      <c r="AG143" s="1">
        <v>0.64</v>
      </c>
      <c r="AH143" s="1">
        <f t="shared" si="50"/>
        <v>0.9376000000000001</v>
      </c>
      <c r="AI143" s="1">
        <f t="shared" si="51"/>
        <v>11.72</v>
      </c>
      <c r="AJ143" s="1">
        <v>4.7</v>
      </c>
      <c r="AK143" s="1">
        <v>2.4</v>
      </c>
      <c r="AL143" s="1">
        <f>Table1[[#This Row],[Chip Size -X (mm)]]*Table1[[#This Row],[Chip Size - Y (mm)]]</f>
        <v>11.28</v>
      </c>
      <c r="AM143" s="1">
        <v>4.2300000000000004</v>
      </c>
      <c r="AN143" s="1">
        <v>2.02</v>
      </c>
      <c r="AO143" s="1">
        <f t="shared" si="52"/>
        <v>2.1361500000000002</v>
      </c>
      <c r="AP143" s="2"/>
      <c r="AQ143" s="1">
        <v>13</v>
      </c>
      <c r="AR143" s="1"/>
      <c r="AS143" s="1">
        <v>24</v>
      </c>
      <c r="AT143" s="1">
        <v>5.5</v>
      </c>
      <c r="AU143" s="1">
        <v>21</v>
      </c>
      <c r="AV143" s="1">
        <v>280</v>
      </c>
      <c r="AW143" s="1">
        <v>200</v>
      </c>
      <c r="AX143" s="1"/>
    </row>
    <row r="144" spans="1:50" x14ac:dyDescent="0.2">
      <c r="A144" s="1" t="s">
        <v>68</v>
      </c>
      <c r="B144" s="1">
        <v>2023</v>
      </c>
      <c r="C144" s="1">
        <v>5</v>
      </c>
      <c r="D144" s="1" t="s">
        <v>150</v>
      </c>
      <c r="E144" s="29" t="s">
        <v>149</v>
      </c>
      <c r="F144" s="1" t="s">
        <v>151</v>
      </c>
      <c r="G144" s="1" t="s">
        <v>20</v>
      </c>
      <c r="H144" s="1">
        <v>65</v>
      </c>
      <c r="I144" s="1">
        <v>28</v>
      </c>
      <c r="J144" s="1">
        <f t="shared" si="41"/>
        <v>8</v>
      </c>
      <c r="K144" s="1">
        <v>2</v>
      </c>
      <c r="L144" s="1">
        <f t="shared" si="46"/>
        <v>4</v>
      </c>
      <c r="M144" s="1">
        <f t="shared" si="47"/>
        <v>4</v>
      </c>
      <c r="N144" s="1">
        <v>1</v>
      </c>
      <c r="O144" s="1">
        <v>1</v>
      </c>
      <c r="P144" s="1" t="s">
        <v>223</v>
      </c>
      <c r="Q144" s="1"/>
      <c r="R144" s="1" t="str">
        <f t="shared" si="45"/>
        <v/>
      </c>
      <c r="S144" s="25">
        <f t="shared" si="53"/>
        <v>9.0205999132796251</v>
      </c>
      <c r="T144" s="1">
        <f t="shared" si="54"/>
        <v>1.8879999999999999</v>
      </c>
      <c r="U144" s="1">
        <f t="shared" si="55"/>
        <v>0</v>
      </c>
      <c r="V144" s="1" t="e">
        <f>IF(OR(ISNUMBER(Table1[[#This Row],[TX Pdc (W)]]), ISNUMBER(Table1[[#This Row],[RX Pdc (W)]])),MAX(Table1[[#This Row],[TX Pdc (W)]],Table1[[#This Row],[RX Pdc (W)]])/Table1[[#This Row],[Array Aperture Size (cm2)]],"N/A")</f>
        <v>#VALUE!</v>
      </c>
      <c r="W144" s="1">
        <f>IF(OR(ISNUMBER(Table1[[#This Row],[TX Pdc (W)]]), ISNUMBER(Table1[[#This Row],[RX Pdc (W)]])),MAX(Table1[[#This Row],[TX Pdc (W)]],Table1[[#This Row],[RX Pdc (W)]])/(Table1[[#This Row],['# of Array Tile]]*Table1[[#This Row],['# of IC per Tile]])/(Table1[[#This Row],[Chip Size (mm2)]]*0.01),"N/A")</f>
        <v>12.267706302794018</v>
      </c>
      <c r="X144" s="23"/>
      <c r="Y144" s="1">
        <v>1</v>
      </c>
      <c r="Z144" s="1" t="s">
        <v>223</v>
      </c>
      <c r="AA144" s="1">
        <v>4</v>
      </c>
      <c r="AB144" s="1">
        <v>2</v>
      </c>
      <c r="AC144" s="1" t="s">
        <v>310</v>
      </c>
      <c r="AD144" s="1">
        <v>2</v>
      </c>
      <c r="AE144" s="1">
        <v>2</v>
      </c>
      <c r="AF144" s="1" t="s">
        <v>27</v>
      </c>
      <c r="AG144" s="1" t="s">
        <v>27</v>
      </c>
      <c r="AH144" s="1" t="e">
        <f t="shared" si="50"/>
        <v>#VALUE!</v>
      </c>
      <c r="AI144" s="1" t="e">
        <f t="shared" si="51"/>
        <v>#VALUE!</v>
      </c>
      <c r="AJ144" s="1">
        <v>2.7</v>
      </c>
      <c r="AK144" s="1">
        <v>2.85</v>
      </c>
      <c r="AL144" s="1">
        <f>Table1[[#This Row],[Chip Size -X (mm)]]*Table1[[#This Row],[Chip Size - Y (mm)]]</f>
        <v>7.6950000000000012</v>
      </c>
      <c r="AM144" s="1">
        <v>2.5099999999999998</v>
      </c>
      <c r="AN144" s="1">
        <v>2.59</v>
      </c>
      <c r="AO144" s="1">
        <f t="shared" si="52"/>
        <v>3.2504499999999994</v>
      </c>
      <c r="AP144" s="2"/>
      <c r="AQ144" s="1">
        <v>3</v>
      </c>
      <c r="AR144" s="1"/>
      <c r="AS144" s="1">
        <v>5.6</v>
      </c>
      <c r="AT144" s="1">
        <v>4.5</v>
      </c>
      <c r="AU144" s="1"/>
      <c r="AV144" s="1">
        <v>472</v>
      </c>
      <c r="AW144" s="1">
        <v>0</v>
      </c>
      <c r="AX144" s="1"/>
    </row>
    <row r="145" spans="1:50" x14ac:dyDescent="0.2">
      <c r="A145" s="1" t="s">
        <v>68</v>
      </c>
      <c r="B145" s="1">
        <v>2023</v>
      </c>
      <c r="C145" s="1">
        <v>5</v>
      </c>
      <c r="D145" s="1" t="s">
        <v>88</v>
      </c>
      <c r="E145" s="29" t="s">
        <v>152</v>
      </c>
      <c r="F145" s="1" t="s">
        <v>33</v>
      </c>
      <c r="G145" s="1" t="s">
        <v>51</v>
      </c>
      <c r="H145" s="1">
        <v>45</v>
      </c>
      <c r="I145" s="1">
        <v>30</v>
      </c>
      <c r="J145" s="1">
        <f t="shared" si="41"/>
        <v>4</v>
      </c>
      <c r="K145" s="1">
        <v>1</v>
      </c>
      <c r="L145" s="1">
        <f t="shared" si="46"/>
        <v>0</v>
      </c>
      <c r="M145" s="1">
        <f t="shared" si="47"/>
        <v>4</v>
      </c>
      <c r="N145" s="1"/>
      <c r="O145" s="1">
        <v>1</v>
      </c>
      <c r="P145" s="1" t="s">
        <v>222</v>
      </c>
      <c r="Q145" s="1"/>
      <c r="R145" s="1" t="str">
        <f t="shared" si="45"/>
        <v/>
      </c>
      <c r="S145" s="25" t="str">
        <f t="shared" si="53"/>
        <v>N/A</v>
      </c>
      <c r="T145" s="1" t="str">
        <f t="shared" si="54"/>
        <v>N/A</v>
      </c>
      <c r="U145" s="1">
        <f t="shared" si="55"/>
        <v>0.26400000000000001</v>
      </c>
      <c r="V145" s="1" t="e">
        <f>IF(OR(ISNUMBER(Table1[[#This Row],[TX Pdc (W)]]), ISNUMBER(Table1[[#This Row],[RX Pdc (W)]])),MAX(Table1[[#This Row],[TX Pdc (W)]],Table1[[#This Row],[RX Pdc (W)]])/Table1[[#This Row],[Array Aperture Size (cm2)]],"N/A")</f>
        <v>#VALUE!</v>
      </c>
      <c r="W145" s="1">
        <f>IF(OR(ISNUMBER(Table1[[#This Row],[TX Pdc (W)]]), ISNUMBER(Table1[[#This Row],[RX Pdc (W)]])),MAX(Table1[[#This Row],[TX Pdc (W)]],Table1[[#This Row],[RX Pdc (W)]])/(Table1[[#This Row],['# of Array Tile]]*Table1[[#This Row],['# of IC per Tile]])/(Table1[[#This Row],[Chip Size (mm2)]]*0.01),"N/A")</f>
        <v>3.5013262599469495</v>
      </c>
      <c r="X145" s="23"/>
      <c r="Y145" s="1">
        <v>1</v>
      </c>
      <c r="Z145" s="1" t="s">
        <v>27</v>
      </c>
      <c r="AA145" s="1" t="s">
        <v>27</v>
      </c>
      <c r="AB145" s="1">
        <v>1</v>
      </c>
      <c r="AC145" s="1" t="s">
        <v>27</v>
      </c>
      <c r="AD145" s="1"/>
      <c r="AE145" s="1">
        <v>4</v>
      </c>
      <c r="AF145" s="1" t="s">
        <v>27</v>
      </c>
      <c r="AG145" s="1" t="s">
        <v>27</v>
      </c>
      <c r="AH145" s="1" t="e">
        <f t="shared" si="50"/>
        <v>#VALUE!</v>
      </c>
      <c r="AI145" s="1" t="e">
        <f t="shared" si="51"/>
        <v>#VALUE!</v>
      </c>
      <c r="AJ145" s="1">
        <v>2.9</v>
      </c>
      <c r="AK145" s="1">
        <v>2.6</v>
      </c>
      <c r="AL145" s="1">
        <f>Table1[[#This Row],[Chip Size -X (mm)]]*Table1[[#This Row],[Chip Size - Y (mm)]]</f>
        <v>7.54</v>
      </c>
      <c r="AM145" s="1">
        <v>2.38</v>
      </c>
      <c r="AN145" s="1">
        <v>2.16</v>
      </c>
      <c r="AO145" s="1">
        <f t="shared" si="52"/>
        <v>2.5704000000000002</v>
      </c>
      <c r="AP145" s="2"/>
      <c r="AQ145" s="1"/>
      <c r="AR145" s="1"/>
      <c r="AS145" s="1"/>
      <c r="AT145" s="1">
        <v>6</v>
      </c>
      <c r="AU145" s="1">
        <v>28</v>
      </c>
      <c r="AV145" s="1"/>
      <c r="AW145" s="1">
        <v>66</v>
      </c>
      <c r="AX145" s="1"/>
    </row>
    <row r="146" spans="1:50" x14ac:dyDescent="0.2">
      <c r="A146" s="1" t="s">
        <v>31</v>
      </c>
      <c r="B146" s="1">
        <v>2023</v>
      </c>
      <c r="C146" s="1">
        <v>6</v>
      </c>
      <c r="D146" s="1" t="s">
        <v>247</v>
      </c>
      <c r="E146" s="29" t="s">
        <v>246</v>
      </c>
      <c r="F146" s="1" t="s">
        <v>35</v>
      </c>
      <c r="G146" s="1" t="s">
        <v>51</v>
      </c>
      <c r="H146" s="1">
        <v>45</v>
      </c>
      <c r="I146" s="1">
        <v>140</v>
      </c>
      <c r="J146" s="1">
        <f t="shared" si="41"/>
        <v>126</v>
      </c>
      <c r="K146" s="1">
        <v>2</v>
      </c>
      <c r="L146" s="1">
        <f t="shared" si="46"/>
        <v>63</v>
      </c>
      <c r="M146" s="1">
        <f t="shared" si="47"/>
        <v>63</v>
      </c>
      <c r="N146" s="1">
        <v>1</v>
      </c>
      <c r="O146" s="1">
        <v>1</v>
      </c>
      <c r="P146" s="1" t="s">
        <v>223</v>
      </c>
      <c r="Q146" s="1">
        <v>37.5</v>
      </c>
      <c r="R146" s="1">
        <f t="shared" si="45"/>
        <v>64</v>
      </c>
      <c r="S146" s="25">
        <f t="shared" si="53"/>
        <v>22.993405494535818</v>
      </c>
      <c r="T146" s="1" t="str">
        <f t="shared" si="54"/>
        <v>N/A</v>
      </c>
      <c r="U146" s="1" t="str">
        <f t="shared" si="55"/>
        <v>N/A</v>
      </c>
      <c r="V146" s="1" t="str">
        <f>IF(OR(ISNUMBER(Table1[[#This Row],[TX Pdc (W)]]), ISNUMBER(Table1[[#This Row],[RX Pdc (W)]])),MAX(Table1[[#This Row],[TX Pdc (W)]],Table1[[#This Row],[RX Pdc (W)]])/Table1[[#This Row],[Array Aperture Size (cm2)]],"N/A")</f>
        <v>N/A</v>
      </c>
      <c r="W146" s="1" t="str">
        <f>IF(OR(ISNUMBER(Table1[[#This Row],[TX Pdc (W)]]), ISNUMBER(Table1[[#This Row],[RX Pdc (W)]])),MAX(Table1[[#This Row],[TX Pdc (W)]],Table1[[#This Row],[RX Pdc (W)]])/(Table1[[#This Row],['# of Array Tile]]*Table1[[#This Row],['# of IC per Tile]])/(Table1[[#This Row],[Chip Size (mm2)]]*0.01),"N/A")</f>
        <v>N/A</v>
      </c>
      <c r="X146" s="23"/>
      <c r="Y146" s="1">
        <v>1</v>
      </c>
      <c r="Z146" s="1" t="s">
        <v>223</v>
      </c>
      <c r="AA146" s="1">
        <v>64</v>
      </c>
      <c r="AB146" s="1">
        <v>1</v>
      </c>
      <c r="AC146" s="1" t="s">
        <v>309</v>
      </c>
      <c r="AD146" s="1">
        <v>63</v>
      </c>
      <c r="AE146" s="1">
        <v>63</v>
      </c>
      <c r="AF146" s="1">
        <v>0.83</v>
      </c>
      <c r="AG146" s="1">
        <v>0.91</v>
      </c>
      <c r="AH146" s="1">
        <f t="shared" si="50"/>
        <v>0.75529999999999997</v>
      </c>
      <c r="AI146" s="1">
        <f t="shared" si="51"/>
        <v>1.18015625</v>
      </c>
      <c r="AJ146" s="1">
        <v>8.27</v>
      </c>
      <c r="AK146" s="1">
        <v>9.84</v>
      </c>
      <c r="AL146" s="1">
        <f>Table1[[#This Row],[Chip Size -X (mm)]]*Table1[[#This Row],[Chip Size - Y (mm)]]</f>
        <v>81.376799999999989</v>
      </c>
      <c r="AM146" s="1">
        <v>8.27</v>
      </c>
      <c r="AN146" s="1">
        <v>9.84</v>
      </c>
      <c r="AO146" s="1">
        <f t="shared" si="52"/>
        <v>1.291695238095238</v>
      </c>
      <c r="AP146" s="2"/>
      <c r="AQ146" s="1">
        <v>5</v>
      </c>
      <c r="AR146" s="1"/>
      <c r="AS146" s="1"/>
      <c r="AT146" s="1">
        <v>6.2</v>
      </c>
      <c r="AU146" s="1">
        <v>20</v>
      </c>
      <c r="AV146" s="1"/>
      <c r="AW146" s="1"/>
      <c r="AX146" s="1"/>
    </row>
    <row r="147" spans="1:50" x14ac:dyDescent="0.2">
      <c r="A147" s="1" t="s">
        <v>31</v>
      </c>
      <c r="B147" s="1">
        <v>2023</v>
      </c>
      <c r="C147" s="1">
        <v>6</v>
      </c>
      <c r="D147" s="1" t="s">
        <v>243</v>
      </c>
      <c r="E147" s="29" t="s">
        <v>242</v>
      </c>
      <c r="F147" s="1" t="s">
        <v>244</v>
      </c>
      <c r="G147" s="1" t="s">
        <v>17</v>
      </c>
      <c r="H147" s="1">
        <v>90</v>
      </c>
      <c r="I147" s="1">
        <v>28.7</v>
      </c>
      <c r="J147" s="1">
        <f t="shared" si="41"/>
        <v>8</v>
      </c>
      <c r="K147" s="1">
        <v>2</v>
      </c>
      <c r="L147" s="1">
        <f t="shared" si="46"/>
        <v>0</v>
      </c>
      <c r="M147" s="1">
        <f t="shared" si="47"/>
        <v>8</v>
      </c>
      <c r="N147" s="1"/>
      <c r="O147" s="1">
        <v>2</v>
      </c>
      <c r="P147" s="1" t="s">
        <v>222</v>
      </c>
      <c r="Q147" s="1"/>
      <c r="R147" s="1" t="str">
        <f t="shared" si="45"/>
        <v/>
      </c>
      <c r="S147" s="25" t="str">
        <f t="shared" si="53"/>
        <v>N/A</v>
      </c>
      <c r="T147" s="1" t="str">
        <f t="shared" si="54"/>
        <v>N/A</v>
      </c>
      <c r="U147" s="1">
        <f t="shared" si="55"/>
        <v>0.90400000000000003</v>
      </c>
      <c r="V147" s="1" t="e">
        <f>IF(OR(ISNUMBER(Table1[[#This Row],[TX Pdc (W)]]), ISNUMBER(Table1[[#This Row],[RX Pdc (W)]])),MAX(Table1[[#This Row],[TX Pdc (W)]],Table1[[#This Row],[RX Pdc (W)]])/Table1[[#This Row],[Array Aperture Size (cm2)]],"N/A")</f>
        <v>#VALUE!</v>
      </c>
      <c r="W147" s="1">
        <f>IF(OR(ISNUMBER(Table1[[#This Row],[TX Pdc (W)]]), ISNUMBER(Table1[[#This Row],[RX Pdc (W)]])),MAX(Table1[[#This Row],[TX Pdc (W)]],Table1[[#This Row],[RX Pdc (W)]])/(Table1[[#This Row],['# of Array Tile]]*Table1[[#This Row],['# of IC per Tile]])/(Table1[[#This Row],[Chip Size (mm2)]]*0.01),"N/A")</f>
        <v>3.7043714861741703</v>
      </c>
      <c r="X147" s="23"/>
      <c r="Y147" s="1">
        <v>1</v>
      </c>
      <c r="Z147" s="1" t="s">
        <v>27</v>
      </c>
      <c r="AA147" s="1" t="s">
        <v>27</v>
      </c>
      <c r="AB147" s="1">
        <v>1</v>
      </c>
      <c r="AC147" s="1" t="s">
        <v>27</v>
      </c>
      <c r="AD147" s="1"/>
      <c r="AE147" s="1">
        <v>8</v>
      </c>
      <c r="AF147" s="1" t="s">
        <v>27</v>
      </c>
      <c r="AG147" s="1" t="s">
        <v>27</v>
      </c>
      <c r="AH147" s="1" t="e">
        <f t="shared" si="50"/>
        <v>#VALUE!</v>
      </c>
      <c r="AI147" s="1" t="e">
        <f t="shared" si="51"/>
        <v>#VALUE!</v>
      </c>
      <c r="AJ147" s="1">
        <v>4.9400000000000004</v>
      </c>
      <c r="AK147" s="1">
        <v>4.9400000000000004</v>
      </c>
      <c r="AL147" s="1">
        <f>Table1[[#This Row],[Chip Size -X (mm)]]*Table1[[#This Row],[Chip Size - Y (mm)]]</f>
        <v>24.403600000000004</v>
      </c>
      <c r="AM147" s="1">
        <v>4.9400000000000004</v>
      </c>
      <c r="AN147" s="1">
        <v>4.9400000000000004</v>
      </c>
      <c r="AO147" s="1">
        <f t="shared" si="52"/>
        <v>6.1009000000000011</v>
      </c>
      <c r="AP147" s="2"/>
      <c r="AQ147" s="1"/>
      <c r="AR147" s="1"/>
      <c r="AS147" s="1"/>
      <c r="AT147" s="1">
        <v>2.1</v>
      </c>
      <c r="AU147" s="1">
        <v>27.3</v>
      </c>
      <c r="AV147" s="1"/>
      <c r="AW147" s="1">
        <v>113</v>
      </c>
      <c r="AX147" s="1" t="s">
        <v>245</v>
      </c>
    </row>
    <row r="148" spans="1:50" x14ac:dyDescent="0.2">
      <c r="A148" s="1" t="s">
        <v>68</v>
      </c>
      <c r="B148" s="1">
        <v>2012</v>
      </c>
      <c r="C148" s="1">
        <v>12</v>
      </c>
      <c r="D148" s="1" t="s">
        <v>401</v>
      </c>
      <c r="E148" s="29" t="s">
        <v>400</v>
      </c>
      <c r="F148" s="1" t="s">
        <v>26</v>
      </c>
      <c r="G148" s="1" t="s">
        <v>51</v>
      </c>
      <c r="H148" s="1">
        <v>45</v>
      </c>
      <c r="I148" s="1">
        <v>280</v>
      </c>
      <c r="J148" s="1">
        <f t="shared" si="41"/>
        <v>16</v>
      </c>
      <c r="K148" s="1">
        <v>2</v>
      </c>
      <c r="L148" s="1">
        <f>AD148*AB148*Y148</f>
        <v>16</v>
      </c>
      <c r="M148" s="1">
        <f>AE148*AB148*Y148</f>
        <v>0</v>
      </c>
      <c r="N148" s="1">
        <v>1</v>
      </c>
      <c r="O148" s="1"/>
      <c r="P148" s="1" t="s">
        <v>218</v>
      </c>
      <c r="Q148" s="1">
        <v>9.4</v>
      </c>
      <c r="R148" s="1">
        <f>IF(Q148="","",Y148*AA148)</f>
        <v>16</v>
      </c>
      <c r="S148" s="25" t="str">
        <f>IF(AQ148="","N/A",10*LOG10(10^(AQ148/10)*AD148*AB148*Y148))</f>
        <v>N/A</v>
      </c>
      <c r="T148" s="1">
        <f>IF(AV148="",1.1*(0.03+8*0.008+16*(0.022+0.004))+0.8*16*0.02,AV148*AD148*AB148*Y148/1000)</f>
        <v>0.81700000000000006</v>
      </c>
      <c r="U148" s="1" t="str">
        <f>IF(AW148="","N/A",AW148*AE148*AB148*Y148/1000)</f>
        <v>N/A</v>
      </c>
      <c r="V148" s="1">
        <f>IF(OR(ISNUMBER(Table1[[#This Row],[TX Pdc (W)]]), ISNUMBER(Table1[[#This Row],[RX Pdc (W)]])),MAX(Table1[[#This Row],[TX Pdc (W)]],Table1[[#This Row],[RX Pdc (W)]])/Table1[[#This Row],[Array Aperture Size (cm2)]],"N/A")</f>
        <v>36.800144137651465</v>
      </c>
      <c r="W148" s="1">
        <f>IF(OR(ISNUMBER(Table1[[#This Row],[TX Pdc (W)]]), ISNUMBER(Table1[[#This Row],[RX Pdc (W)]])),MAX(Table1[[#This Row],[TX Pdc (W)]],Table1[[#This Row],[RX Pdc (W)]])/(Table1[[#This Row],['# of Array Tile]]*Table1[[#This Row],['# of IC per Tile]])/(Table1[[#This Row],[Chip Size (mm2)]]*0.01),"N/A")</f>
        <v>11.20713305898491</v>
      </c>
      <c r="X148" s="23"/>
      <c r="Y148" s="1">
        <v>1</v>
      </c>
      <c r="Z148" s="1" t="s">
        <v>218</v>
      </c>
      <c r="AA148" s="1">
        <v>16</v>
      </c>
      <c r="AB148" s="1">
        <v>1</v>
      </c>
      <c r="AC148" s="1" t="s">
        <v>27</v>
      </c>
      <c r="AD148" s="1">
        <v>16</v>
      </c>
      <c r="AE148" s="1">
        <v>0</v>
      </c>
      <c r="AF148" s="1">
        <v>0.14899999999999999</v>
      </c>
      <c r="AG148" s="1">
        <v>0.14899999999999999</v>
      </c>
      <c r="AH148" s="1">
        <f>AF148*AG148</f>
        <v>2.2200999999999999E-2</v>
      </c>
      <c r="AI148" s="1">
        <f>(AH148*100/(Y148*AA148))</f>
        <v>0.13875625</v>
      </c>
      <c r="AJ148" s="1">
        <v>2.7</v>
      </c>
      <c r="AK148" s="1">
        <v>2.7</v>
      </c>
      <c r="AL148" s="1">
        <f>Table1[[#This Row],[Chip Size -X (mm)]]*Table1[[#This Row],[Chip Size - Y (mm)]]</f>
        <v>7.2900000000000009</v>
      </c>
      <c r="AM148" s="1">
        <v>1.85</v>
      </c>
      <c r="AN148" s="1">
        <v>1.99</v>
      </c>
      <c r="AO148" s="1">
        <f>(AM148*AN148/(AD148+AE148)*MAX(AD148,AE148)*2)/MAX(AD148,AE148)</f>
        <v>0.46018750000000003</v>
      </c>
      <c r="AP148" s="2"/>
      <c r="AQ148" s="1"/>
      <c r="AR148" s="1"/>
      <c r="AS148" s="1"/>
      <c r="AT148" s="1"/>
      <c r="AU148" s="1"/>
      <c r="AV148" s="1"/>
      <c r="AW148" s="1"/>
      <c r="AX148" s="1"/>
    </row>
    <row r="149" spans="1:50" x14ac:dyDescent="0.2">
      <c r="A149" s="1" t="s">
        <v>31</v>
      </c>
      <c r="B149" s="1">
        <v>2022</v>
      </c>
      <c r="C149" s="1">
        <v>6</v>
      </c>
      <c r="D149" s="1" t="s">
        <v>403</v>
      </c>
      <c r="E149" s="29" t="s">
        <v>402</v>
      </c>
      <c r="F149" s="1" t="s">
        <v>151</v>
      </c>
      <c r="G149" s="1" t="s">
        <v>20</v>
      </c>
      <c r="H149" s="1">
        <v>65</v>
      </c>
      <c r="I149" s="1">
        <v>58</v>
      </c>
      <c r="J149" s="1">
        <f t="shared" si="41"/>
        <v>8</v>
      </c>
      <c r="K149" s="1">
        <v>1</v>
      </c>
      <c r="L149" s="1">
        <f>AD149*AB149*Y149</f>
        <v>4</v>
      </c>
      <c r="M149" s="1">
        <f>AE149*AB149*Y149</f>
        <v>4</v>
      </c>
      <c r="N149" s="1">
        <v>1</v>
      </c>
      <c r="O149" s="1">
        <v>1</v>
      </c>
      <c r="P149" s="1" t="s">
        <v>223</v>
      </c>
      <c r="Q149" s="1"/>
      <c r="R149" s="1" t="str">
        <f>IF(Q149="","",Y149*AA149)</f>
        <v/>
      </c>
      <c r="S149" s="25">
        <f>IF(AQ149="","N/A",10*LOG10(10^(AQ149/10)*AD149*AB149*Y149))</f>
        <v>10.220599913279624</v>
      </c>
      <c r="T149" s="1">
        <f>IF(AV149="","N/A",AV149*AD149*AB149*Y149/1000)</f>
        <v>0.22</v>
      </c>
      <c r="U149" s="1">
        <f>IF(AW149="","N/A",AW149*AE149*AB149*Y149/1000)</f>
        <v>0</v>
      </c>
      <c r="V149" s="1">
        <f>IF(OR(ISNUMBER(Table1[[#This Row],[TX Pdc (W)]]), ISNUMBER(Table1[[#This Row],[RX Pdc (W)]])),MAX(Table1[[#This Row],[TX Pdc (W)]],Table1[[#This Row],[RX Pdc (W)]])/Table1[[#This Row],[Array Aperture Size (cm2)]],"N/A")</f>
        <v>1.1253196930946292</v>
      </c>
      <c r="W149" s="1">
        <f>IF(OR(ISNUMBER(Table1[[#This Row],[TX Pdc (W)]]), ISNUMBER(Table1[[#This Row],[RX Pdc (W)]])),MAX(Table1[[#This Row],[TX Pdc (W)]],Table1[[#This Row],[RX Pdc (W)]])/(Table1[[#This Row],['# of Array Tile]]*Table1[[#This Row],['# of IC per Tile]])/(Table1[[#This Row],[Chip Size (mm2)]]*0.01),"N/A")</f>
        <v>5.5</v>
      </c>
      <c r="X149" s="23"/>
      <c r="Y149" s="1">
        <v>1</v>
      </c>
      <c r="Z149" s="1" t="s">
        <v>223</v>
      </c>
      <c r="AA149" s="1">
        <v>8</v>
      </c>
      <c r="AB149" s="1">
        <v>2</v>
      </c>
      <c r="AC149" s="1" t="s">
        <v>310</v>
      </c>
      <c r="AD149" s="1">
        <v>2</v>
      </c>
      <c r="AE149" s="1">
        <v>2</v>
      </c>
      <c r="AF149" s="1">
        <v>0.85</v>
      </c>
      <c r="AG149" s="1">
        <f>0.115*2</f>
        <v>0.23</v>
      </c>
      <c r="AH149" s="1">
        <f>AF149*AG149</f>
        <v>0.19550000000000001</v>
      </c>
      <c r="AI149" s="1">
        <f>(AH149*100/(Y149*AA149))</f>
        <v>2.4437500000000001</v>
      </c>
      <c r="AJ149" s="1">
        <v>2</v>
      </c>
      <c r="AK149" s="1">
        <v>1</v>
      </c>
      <c r="AL149" s="1">
        <f>Table1[[#This Row],[Chip Size -X (mm)]]*Table1[[#This Row],[Chip Size - Y (mm)]]</f>
        <v>2</v>
      </c>
      <c r="AM149" s="1">
        <v>1.58</v>
      </c>
      <c r="AN149" s="1">
        <v>0.56000000000000005</v>
      </c>
      <c r="AO149" s="1">
        <f>(AM149*AN149/(AD149+AE149)*MAX(AD149,AE149)*2)/MAX(AD149,AE149)</f>
        <v>0.44240000000000007</v>
      </c>
      <c r="AP149" s="2"/>
      <c r="AQ149" s="1">
        <v>4.2</v>
      </c>
      <c r="AR149" s="1"/>
      <c r="AS149" s="1"/>
      <c r="AT149" s="1">
        <v>5</v>
      </c>
      <c r="AU149" s="1"/>
      <c r="AV149" s="1">
        <v>55</v>
      </c>
      <c r="AW149" s="1">
        <v>0</v>
      </c>
      <c r="AX149" s="1"/>
    </row>
    <row r="150" spans="1:50" x14ac:dyDescent="0.2">
      <c r="A150" s="1" t="s">
        <v>31</v>
      </c>
      <c r="B150" s="1">
        <v>2022</v>
      </c>
      <c r="C150" s="1">
        <v>6</v>
      </c>
      <c r="D150" s="1" t="s">
        <v>403</v>
      </c>
      <c r="E150" s="29" t="s">
        <v>402</v>
      </c>
      <c r="F150" s="1" t="s">
        <v>151</v>
      </c>
      <c r="G150" s="1" t="s">
        <v>20</v>
      </c>
      <c r="H150" s="1">
        <v>65</v>
      </c>
      <c r="I150" s="1">
        <v>58</v>
      </c>
      <c r="J150" s="1">
        <f t="shared" si="41"/>
        <v>8</v>
      </c>
      <c r="K150" s="1">
        <v>2</v>
      </c>
      <c r="L150" s="1">
        <f>AD150*AB150*Y150</f>
        <v>4</v>
      </c>
      <c r="M150" s="1">
        <f>AE150*AB150*Y150</f>
        <v>4</v>
      </c>
      <c r="N150" s="1">
        <v>1</v>
      </c>
      <c r="O150" s="1">
        <v>1</v>
      </c>
      <c r="P150" s="1" t="s">
        <v>223</v>
      </c>
      <c r="Q150" s="1"/>
      <c r="R150" s="1" t="str">
        <f>IF(Q150="","",Y150*AA150)</f>
        <v/>
      </c>
      <c r="S150" s="25">
        <f>IF(AQ150="","N/A",10*LOG10(10^(AQ150/10)*AD150*AB150*Y150))</f>
        <v>10.220599913279624</v>
      </c>
      <c r="T150" s="1">
        <f>IF(AV150="","N/A",AV150*AD150*AB150*Y150/1000)</f>
        <v>0.22</v>
      </c>
      <c r="U150" s="1">
        <f>IF(AW150="","N/A",AW150*AE150*AB150*Y150/1000)</f>
        <v>0</v>
      </c>
      <c r="V150" s="1">
        <f>IF(OR(ISNUMBER(Table1[[#This Row],[TX Pdc (W)]]), ISNUMBER(Table1[[#This Row],[RX Pdc (W)]])),MAX(Table1[[#This Row],[TX Pdc (W)]],Table1[[#This Row],[RX Pdc (W)]])/Table1[[#This Row],[Array Aperture Size (cm2)]],"N/A")</f>
        <v>1.0018214936247723E-2</v>
      </c>
      <c r="W150" s="1">
        <f>IF(OR(ISNUMBER(Table1[[#This Row],[TX Pdc (W)]]), ISNUMBER(Table1[[#This Row],[RX Pdc (W)]])),MAX(Table1[[#This Row],[TX Pdc (W)]],Table1[[#This Row],[RX Pdc (W)]])/(Table1[[#This Row],['# of Array Tile]]*Table1[[#This Row],['# of IC per Tile]])/(Table1[[#This Row],[Chip Size (mm2)]]*0.01),"N/A")</f>
        <v>5.5</v>
      </c>
      <c r="X150" s="23"/>
      <c r="Y150" s="1">
        <v>1</v>
      </c>
      <c r="Z150" s="1" t="s">
        <v>223</v>
      </c>
      <c r="AA150" s="1">
        <v>6</v>
      </c>
      <c r="AB150" s="1">
        <v>2</v>
      </c>
      <c r="AC150" s="1" t="s">
        <v>310</v>
      </c>
      <c r="AD150" s="1">
        <v>2</v>
      </c>
      <c r="AE150" s="1">
        <v>2</v>
      </c>
      <c r="AF150" s="1">
        <v>6.1</v>
      </c>
      <c r="AG150" s="1">
        <v>3.6</v>
      </c>
      <c r="AH150" s="1">
        <f>AF150*AG150</f>
        <v>21.96</v>
      </c>
      <c r="AI150" s="1">
        <f>(AH150*100/(Y150*AA150))</f>
        <v>366</v>
      </c>
      <c r="AJ150" s="1">
        <v>2</v>
      </c>
      <c r="AK150" s="1">
        <v>1</v>
      </c>
      <c r="AL150" s="1">
        <f>Table1[[#This Row],[Chip Size -X (mm)]]*Table1[[#This Row],[Chip Size - Y (mm)]]</f>
        <v>2</v>
      </c>
      <c r="AM150" s="1">
        <v>1.58</v>
      </c>
      <c r="AN150" s="1">
        <v>0.56000000000000005</v>
      </c>
      <c r="AO150" s="1">
        <f>(AM150*AN150/(AD150+AE150)*MAX(AD150,AE150)*2)/MAX(AD150,AE150)</f>
        <v>0.44240000000000007</v>
      </c>
      <c r="AP150" s="2"/>
      <c r="AQ150" s="1">
        <v>4.2</v>
      </c>
      <c r="AR150" s="1"/>
      <c r="AS150" s="1"/>
      <c r="AT150" s="1">
        <v>5</v>
      </c>
      <c r="AU150" s="1"/>
      <c r="AV150" s="1">
        <v>55</v>
      </c>
      <c r="AW150" s="1">
        <v>0</v>
      </c>
      <c r="AX150" s="1" t="s">
        <v>404</v>
      </c>
    </row>
    <row r="151" spans="1:50" x14ac:dyDescent="0.2">
      <c r="A151" s="1" t="s">
        <v>406</v>
      </c>
      <c r="B151" s="1">
        <v>2020</v>
      </c>
      <c r="C151" s="1">
        <v>12</v>
      </c>
      <c r="D151" s="1" t="s">
        <v>403</v>
      </c>
      <c r="E151" s="29" t="s">
        <v>405</v>
      </c>
      <c r="F151" s="1" t="s">
        <v>151</v>
      </c>
      <c r="G151" s="1" t="s">
        <v>20</v>
      </c>
      <c r="H151" s="1">
        <v>65</v>
      </c>
      <c r="I151" s="1">
        <v>300</v>
      </c>
      <c r="J151" s="1">
        <f t="shared" si="41"/>
        <v>576</v>
      </c>
      <c r="K151" s="1">
        <v>2</v>
      </c>
      <c r="L151" s="1">
        <f>AD151*AB151*Y151</f>
        <v>576</v>
      </c>
      <c r="M151" s="1">
        <f>AE151*AB151*Y151</f>
        <v>0</v>
      </c>
      <c r="N151" s="1">
        <v>1</v>
      </c>
      <c r="O151" s="1">
        <v>1</v>
      </c>
      <c r="P151" s="1" t="s">
        <v>218</v>
      </c>
      <c r="Q151" s="1"/>
      <c r="R151" s="1" t="str">
        <f>IF(Q151="","",Y151*AA151)</f>
        <v/>
      </c>
      <c r="S151" s="25" t="str">
        <f>IF(AQ151="","N/A",10*LOG10(10^(AQ151/10)*AD151*AB151*Y151))</f>
        <v>N/A</v>
      </c>
      <c r="T151" s="1" t="str">
        <f>IF(AV151="","N/A",AV151*AD151*AB151*Y151/1000)</f>
        <v>N/A</v>
      </c>
      <c r="U151" s="1" t="str">
        <f>IF(AW151="","N/A",AW151*AE151*AB151*Y151/1000)</f>
        <v>N/A</v>
      </c>
      <c r="V151" s="1" t="str">
        <f>IF(OR(ISNUMBER(Table1[[#This Row],[TX Pdc (W)]]), ISNUMBER(Table1[[#This Row],[RX Pdc (W)]])),MAX(Table1[[#This Row],[TX Pdc (W)]],Table1[[#This Row],[RX Pdc (W)]])/Table1[[#This Row],[Array Aperture Size (cm2)]],"N/A")</f>
        <v>N/A</v>
      </c>
      <c r="W151" s="1" t="str">
        <f>IF(OR(ISNUMBER(Table1[[#This Row],[TX Pdc (W)]]), ISNUMBER(Table1[[#This Row],[RX Pdc (W)]])),MAX(Table1[[#This Row],[TX Pdc (W)]],Table1[[#This Row],[RX Pdc (W)]])/(Table1[[#This Row],['# of Array Tile]]*Table1[[#This Row],['# of IC per Tile]])/(Table1[[#This Row],[Chip Size (mm2)]]*0.01),"N/A")</f>
        <v>N/A</v>
      </c>
      <c r="X151" s="23"/>
      <c r="Y151" s="1">
        <v>1</v>
      </c>
      <c r="Z151" s="1" t="s">
        <v>218</v>
      </c>
      <c r="AA151" s="1">
        <f>Table1[[#This Row],['# of IC per Tile]]*12*12</f>
        <v>576</v>
      </c>
      <c r="AB151" s="1">
        <v>4</v>
      </c>
      <c r="AC151" s="1" t="s">
        <v>309</v>
      </c>
      <c r="AD151" s="1">
        <v>144</v>
      </c>
      <c r="AE151" s="1">
        <v>0</v>
      </c>
      <c r="AF151" s="1">
        <v>1.7</v>
      </c>
      <c r="AG151" s="1">
        <v>1.7</v>
      </c>
      <c r="AH151" s="1">
        <f>AF151*AG151</f>
        <v>2.8899999999999997</v>
      </c>
      <c r="AI151" s="1">
        <f>(AH151*100/(Y151*AA151))</f>
        <v>0.50173611111111105</v>
      </c>
      <c r="AJ151" s="1">
        <v>2</v>
      </c>
      <c r="AK151" s="1">
        <v>2</v>
      </c>
      <c r="AL151" s="1">
        <f>Table1[[#This Row],[Chip Size -X (mm)]]*Table1[[#This Row],[Chip Size - Y (mm)]]</f>
        <v>4</v>
      </c>
      <c r="AM151" s="1">
        <v>1.7</v>
      </c>
      <c r="AN151" s="1">
        <v>1.7</v>
      </c>
      <c r="AO151" s="1">
        <f>(AM151*AN151/(AD151+AE151)*MAX(AD151,AE151)*2)/MAX(AD151,AE151)</f>
        <v>4.0138888888888884E-2</v>
      </c>
      <c r="AP151" s="2"/>
      <c r="AQ151" s="1"/>
      <c r="AR151" s="1"/>
      <c r="AS151" s="1"/>
      <c r="AT151" s="1"/>
      <c r="AU151" s="1"/>
      <c r="AV151" s="1"/>
      <c r="AW151" s="1"/>
      <c r="AX151" s="1" t="s">
        <v>407</v>
      </c>
    </row>
    <row r="152" spans="1:50" x14ac:dyDescent="0.2">
      <c r="A152" s="1" t="s">
        <v>409</v>
      </c>
      <c r="B152" s="1">
        <v>2023</v>
      </c>
      <c r="C152" s="1">
        <v>9</v>
      </c>
      <c r="D152" s="1" t="s">
        <v>129</v>
      </c>
      <c r="E152" s="29" t="s">
        <v>408</v>
      </c>
      <c r="F152" s="1" t="s">
        <v>62</v>
      </c>
      <c r="G152" s="1" t="s">
        <v>17</v>
      </c>
      <c r="H152" s="1">
        <v>90</v>
      </c>
      <c r="I152" s="1">
        <v>60</v>
      </c>
      <c r="J152" s="1">
        <f t="shared" si="41"/>
        <v>1</v>
      </c>
      <c r="K152" s="1" t="s">
        <v>27</v>
      </c>
      <c r="L152" s="1">
        <f>AD152*AB152*Y152</f>
        <v>1</v>
      </c>
      <c r="M152" s="1">
        <f>AE152*AB152*Y152</f>
        <v>0</v>
      </c>
      <c r="N152" s="1">
        <v>1</v>
      </c>
      <c r="O152" s="1"/>
      <c r="P152" s="1" t="s">
        <v>222</v>
      </c>
      <c r="Q152" s="1"/>
      <c r="R152" s="1" t="str">
        <f>IF(Q152="","",Y152*AA152)</f>
        <v/>
      </c>
      <c r="S152" s="25">
        <f>IF(AQ152="","N/A",10*LOG10(10^(AQ152/10)*AD152*AB152*Y152))</f>
        <v>13.5</v>
      </c>
      <c r="T152" s="1">
        <f>IF(AV152="","N/A",AV152*AD152*AB152*Y152/1000)</f>
        <v>0.20599999999999999</v>
      </c>
      <c r="U152" s="1" t="str">
        <f>IF(AW152="","N/A",AW152*AE152*AB152*Y152/1000)</f>
        <v>N/A</v>
      </c>
      <c r="V152" s="1" t="e">
        <f>IF(OR(ISNUMBER(Table1[[#This Row],[TX Pdc (W)]]), ISNUMBER(Table1[[#This Row],[RX Pdc (W)]])),MAX(Table1[[#This Row],[TX Pdc (W)]],Table1[[#This Row],[RX Pdc (W)]])/Table1[[#This Row],[Array Aperture Size (cm2)]],"N/A")</f>
        <v>#VALUE!</v>
      </c>
      <c r="W152" s="1">
        <f>IF(OR(ISNUMBER(Table1[[#This Row],[TX Pdc (W)]]), ISNUMBER(Table1[[#This Row],[RX Pdc (W)]])),MAX(Table1[[#This Row],[TX Pdc (W)]],Table1[[#This Row],[RX Pdc (W)]])/(Table1[[#This Row],['# of Array Tile]]*Table1[[#This Row],['# of IC per Tile]])/(Table1[[#This Row],[Chip Size (mm2)]]*0.01),"N/A")</f>
        <v>6.8666666666666663</v>
      </c>
      <c r="X152" s="23"/>
      <c r="Y152" s="1">
        <v>1</v>
      </c>
      <c r="Z152" s="1" t="s">
        <v>27</v>
      </c>
      <c r="AA152" s="1" t="s">
        <v>27</v>
      </c>
      <c r="AB152" s="1">
        <v>1</v>
      </c>
      <c r="AC152" s="1" t="s">
        <v>27</v>
      </c>
      <c r="AD152" s="1">
        <v>1</v>
      </c>
      <c r="AE152" s="1"/>
      <c r="AF152" s="1" t="s">
        <v>27</v>
      </c>
      <c r="AG152" s="1" t="s">
        <v>27</v>
      </c>
      <c r="AH152" s="1" t="e">
        <f>AF152*AG152</f>
        <v>#VALUE!</v>
      </c>
      <c r="AI152" s="1" t="e">
        <f>(AH152*100/(Y152*AA152))</f>
        <v>#VALUE!</v>
      </c>
      <c r="AJ152" s="1">
        <v>3</v>
      </c>
      <c r="AK152" s="1">
        <v>1</v>
      </c>
      <c r="AL152" s="1">
        <f>Table1[[#This Row],[Chip Size -X (mm)]]*Table1[[#This Row],[Chip Size - Y (mm)]]</f>
        <v>3</v>
      </c>
      <c r="AM152" s="1">
        <v>2.84</v>
      </c>
      <c r="AN152" s="1">
        <v>0.79</v>
      </c>
      <c r="AO152" s="1">
        <f>(AM152*AN152/(AD152+AE152)*MAX(AD152,AE152)*2)/MAX(AD152,AE152)</f>
        <v>4.4871999999999996</v>
      </c>
      <c r="AP152" s="2"/>
      <c r="AQ152" s="1">
        <v>13.5</v>
      </c>
      <c r="AR152" s="1"/>
      <c r="AS152" s="1">
        <v>35</v>
      </c>
      <c r="AT152" s="1"/>
      <c r="AU152" s="1"/>
      <c r="AV152" s="1">
        <v>206</v>
      </c>
      <c r="AW152" s="1"/>
      <c r="AX152" s="1"/>
    </row>
  </sheetData>
  <phoneticPr fontId="5" type="noConversion"/>
  <hyperlinks>
    <hyperlink ref="E112" r:id="rId1" xr:uid="{B0A46C26-D675-48FD-9F03-7936ED9DDCD8}"/>
    <hyperlink ref="E115" r:id="rId2" xr:uid="{83821B06-DFE0-495B-8AC6-665976F3D7B2}"/>
    <hyperlink ref="E124" r:id="rId3" xr:uid="{E980438E-CDD4-44A2-AC56-13378F59FCB3}"/>
    <hyperlink ref="E128" r:id="rId4" xr:uid="{52352B17-D72E-4C0D-B2B6-35C52079214C}"/>
    <hyperlink ref="E129" r:id="rId5" xr:uid="{544C4ACA-DF13-4EF7-9EFA-000DB815142F}"/>
    <hyperlink ref="E141" r:id="rId6" xr:uid="{3CA0BD57-1076-4261-9128-C895FA03409C}"/>
    <hyperlink ref="E142" r:id="rId7" xr:uid="{61866FB3-7F58-4BA2-BB7F-CC8A71B4C158}"/>
    <hyperlink ref="E143" r:id="rId8" xr:uid="{0EFF4D74-F41A-4E33-9F9E-CE9139346BF1}"/>
    <hyperlink ref="E146" r:id="rId9" xr:uid="{40EF961C-369A-4B8C-B752-5F619C06D482}"/>
    <hyperlink ref="E6" r:id="rId10" xr:uid="{65D5C72B-1B5A-492C-9F6B-47AF7787DB20}"/>
    <hyperlink ref="E7" r:id="rId11" xr:uid="{D3FF1FEA-A5B7-43F4-92AC-7D657527200A}"/>
    <hyperlink ref="E8" r:id="rId12" xr:uid="{AC4BAFA2-D511-4E45-9076-BEB7FB3FB853}"/>
    <hyperlink ref="E9" r:id="rId13" xr:uid="{F1CE6F19-D6FE-4B57-A9C7-D103D54A5506}"/>
    <hyperlink ref="E11" r:id="rId14" xr:uid="{CCF70B5B-1538-4F9E-A735-C556012AD8BB}"/>
    <hyperlink ref="E12" r:id="rId15" xr:uid="{390A0C64-3710-4759-9D07-AE7742E3C20E}"/>
    <hyperlink ref="E13" r:id="rId16" xr:uid="{9699BBED-B470-42BC-8CBA-A4FC70276BCF}"/>
    <hyperlink ref="E16" r:id="rId17" xr:uid="{ADC86A92-400B-4937-B3D8-B27B5783B85B}"/>
    <hyperlink ref="E17" r:id="rId18" xr:uid="{13C2D50A-4364-4528-81DF-AD60FF665B14}"/>
    <hyperlink ref="E18" r:id="rId19" xr:uid="{63933859-FF84-4C63-A527-3DB43C5DFBB9}"/>
    <hyperlink ref="E19" r:id="rId20" xr:uid="{11C20E13-6552-433F-AA7A-3F02E44BE9DB}"/>
    <hyperlink ref="E20" r:id="rId21" xr:uid="{3187DB83-0C99-4E49-A003-695884735EC4}"/>
    <hyperlink ref="E21" r:id="rId22" xr:uid="{87160008-3439-4FEC-9E19-404D0E69F85D}"/>
    <hyperlink ref="E22" r:id="rId23" xr:uid="{C3955B21-A42D-4D98-A747-AB28E72DD053}"/>
    <hyperlink ref="E23" r:id="rId24" xr:uid="{0389E5FF-0BBE-4AC5-84D7-9A590329C21C}"/>
    <hyperlink ref="E24" r:id="rId25" xr:uid="{11474B2C-28D5-4077-8C93-1A81C8914BA9}"/>
    <hyperlink ref="E25" r:id="rId26" xr:uid="{A5F4085B-452A-4C05-A567-58666CD2B3F5}"/>
    <hyperlink ref="E26" r:id="rId27" xr:uid="{2776AAFA-A735-461D-808D-A7E5D832D6D7}"/>
    <hyperlink ref="E27" r:id="rId28" xr:uid="{C94E34F4-1E3F-4512-9C39-76B1D9694793}"/>
    <hyperlink ref="E28" r:id="rId29" xr:uid="{BECB46EF-AE41-42D1-AD52-C59F55ADC8E9}"/>
    <hyperlink ref="E29" r:id="rId30" xr:uid="{CEC8CEF3-E27C-47D7-8F26-BF89688FC172}"/>
    <hyperlink ref="E30" r:id="rId31" xr:uid="{1ACDA898-739D-47E9-891E-66942A7C38A7}"/>
    <hyperlink ref="E31" r:id="rId32" xr:uid="{60309249-E24D-45E9-91B8-0459C8213DE7}"/>
    <hyperlink ref="E32" r:id="rId33" xr:uid="{CC1C02FB-223C-44D1-B66A-0F58D352544F}"/>
    <hyperlink ref="E33" r:id="rId34" xr:uid="{AB42376B-8807-4ADC-84B3-F010C86666AA}"/>
    <hyperlink ref="E34" r:id="rId35" xr:uid="{403FFC0C-CB00-482D-A657-5A74A99E1BF6}"/>
    <hyperlink ref="E35" r:id="rId36" xr:uid="{DB11D817-B80C-4EF2-AA0D-704D6F882C7F}"/>
    <hyperlink ref="E36" r:id="rId37" xr:uid="{CFE35BDD-F80A-47E6-A415-50CE9B4391A8}"/>
    <hyperlink ref="E37" r:id="rId38" xr:uid="{94095118-C304-455C-B5A8-EBF9A9244FBD}"/>
    <hyperlink ref="E38" r:id="rId39" xr:uid="{7B65BCA7-EF52-4661-8280-1627B77A1E2B}"/>
    <hyperlink ref="E39" r:id="rId40" xr:uid="{F6F6CC3D-5F21-4C3E-AF78-EF798998B754}"/>
    <hyperlink ref="E40" r:id="rId41" xr:uid="{41E13353-2717-46A7-93CA-E574ACE87050}"/>
    <hyperlink ref="E41" r:id="rId42" xr:uid="{212B1045-1E8F-4CFC-82FB-908BA064BE00}"/>
    <hyperlink ref="E42" r:id="rId43" xr:uid="{03E0445D-25FA-49F0-B74F-FF7DBACFBA75}"/>
    <hyperlink ref="E43" r:id="rId44" xr:uid="{4ED369DD-2C11-4C49-BE3D-BC00155C4EF5}"/>
    <hyperlink ref="E44" r:id="rId45" xr:uid="{068E445A-1A21-4369-BEC2-97E7571BF2CF}"/>
    <hyperlink ref="E45" r:id="rId46" xr:uid="{3D649751-5453-43A3-9369-A378B0B5B1F3}"/>
    <hyperlink ref="E46" r:id="rId47" xr:uid="{193E69CC-7F0C-42D2-96D5-E1E3BFA2A7AA}"/>
    <hyperlink ref="E47" r:id="rId48" xr:uid="{E52BCBA1-899D-4E43-A244-740DB0D3D90C}"/>
    <hyperlink ref="E48" r:id="rId49" xr:uid="{5B167A75-FAAD-42DD-84CF-0C9967E0C4EC}"/>
    <hyperlink ref="E49" r:id="rId50" xr:uid="{51222AD8-0B31-4724-A630-A2135AF742FA}"/>
    <hyperlink ref="E50" r:id="rId51" xr:uid="{6AC2EF5F-6737-4CF5-8FB9-2EB9361A7603}"/>
    <hyperlink ref="E51" r:id="rId52" xr:uid="{E9CDC908-4C50-4C49-A725-34DBF3E8D7FF}"/>
    <hyperlink ref="E52" r:id="rId53" xr:uid="{9F78CCBE-34A4-440C-A746-EC28B7FB84B2}"/>
    <hyperlink ref="E53" r:id="rId54" xr:uid="{11FFC9FD-BBEF-48B7-A226-BA333A59BFAD}"/>
    <hyperlink ref="E54" r:id="rId55" xr:uid="{953536E7-3567-40F6-8F46-FB5F1EA09252}"/>
    <hyperlink ref="E55" r:id="rId56" xr:uid="{A42B0D21-D0A7-4483-AE0A-6330503685F1}"/>
    <hyperlink ref="E56" r:id="rId57" xr:uid="{F0D1054F-2344-461C-94B9-ACE0C32CCD8F}"/>
    <hyperlink ref="E57" r:id="rId58" xr:uid="{A632F26C-0F88-4CBE-A581-1B9D99E3417D}"/>
    <hyperlink ref="E58" r:id="rId59" xr:uid="{6EE87316-C29D-440D-A397-987FC20EF42E}"/>
    <hyperlink ref="E59" r:id="rId60" xr:uid="{B54D5249-F285-4CAF-A84E-CCA7059378FF}"/>
    <hyperlink ref="E60" r:id="rId61" xr:uid="{5BA9DF2C-0574-4631-8B16-4F3DAC308BD2}"/>
    <hyperlink ref="E61" r:id="rId62" xr:uid="{70580D91-D148-4089-AFA6-648C935358EB}"/>
    <hyperlink ref="E62" r:id="rId63" xr:uid="{83A95EE0-74F1-46B5-AD6D-1E9E73D2DE0F}"/>
    <hyperlink ref="E63" r:id="rId64" xr:uid="{9C16CC71-1DF9-4915-B951-E522B917CAB3}"/>
    <hyperlink ref="E64" r:id="rId65" xr:uid="{0CA45B5D-BC70-41DF-A2A6-34F4D518FA69}"/>
    <hyperlink ref="E65" r:id="rId66" xr:uid="{8F007B20-EB80-49F5-B714-28F07964805B}"/>
    <hyperlink ref="E66" r:id="rId67" xr:uid="{E3EE76EE-D7F7-4D20-88C5-B3544B68C3AC}"/>
    <hyperlink ref="E67" r:id="rId68" xr:uid="{8F944265-4AD6-4D93-B3C0-A07747C012CE}"/>
    <hyperlink ref="E68" r:id="rId69" xr:uid="{1D5CFD14-68ED-429F-82FB-B54532843D36}"/>
    <hyperlink ref="E69" r:id="rId70" xr:uid="{EBD9FB04-7B61-4E20-AA8E-01922BE1840C}"/>
    <hyperlink ref="E70" r:id="rId71" xr:uid="{3D4B3946-3BC1-47A9-9466-37626FC7DD52}"/>
    <hyperlink ref="E71" r:id="rId72" xr:uid="{FE9C0FF7-F30F-41D8-B547-2B7947AEDD78}"/>
    <hyperlink ref="E72" r:id="rId73" xr:uid="{505E39C3-AC56-4DCC-B141-3EEEE030D1BF}"/>
    <hyperlink ref="E73" r:id="rId74" xr:uid="{19D5F636-0B14-4EFF-8817-E81B05840E1C}"/>
    <hyperlink ref="E74" r:id="rId75" xr:uid="{7A10EBC7-F902-480A-9735-196A311CF25D}"/>
    <hyperlink ref="E75" r:id="rId76" xr:uid="{ABDBBB43-159D-462D-A4F3-9348239D2BE0}"/>
    <hyperlink ref="E76" r:id="rId77" xr:uid="{A7D3208D-DC40-433F-826E-283F95B388D2}"/>
    <hyperlink ref="E77" r:id="rId78" xr:uid="{C965819B-A388-4E66-81B4-53A126FFFAA4}"/>
    <hyperlink ref="E78" r:id="rId79" xr:uid="{72F86E1C-EF17-4EAD-974B-BC7BAB60EAF9}"/>
    <hyperlink ref="E79" r:id="rId80" xr:uid="{DF7DDF07-ADFB-44D5-A207-3ED853AC8094}"/>
    <hyperlink ref="E80" r:id="rId81" xr:uid="{023151D6-913C-4D80-A931-38B8A4C3AFF9}"/>
    <hyperlink ref="E81" r:id="rId82" xr:uid="{EE417B55-F5CD-44D2-BFD2-8564467ECC9F}"/>
    <hyperlink ref="E82" r:id="rId83" xr:uid="{3FAFA35D-45CD-4241-8412-253AAE83EBE3}"/>
    <hyperlink ref="E83" r:id="rId84" xr:uid="{79C67554-E525-46BA-B50E-9AE107321538}"/>
    <hyperlink ref="E84" r:id="rId85" xr:uid="{4B4633A0-9496-4612-A9CE-57F63488BE72}"/>
    <hyperlink ref="E85" r:id="rId86" xr:uid="{3A55A030-59D1-469A-9AF2-05F3129D21C3}"/>
    <hyperlink ref="E86" r:id="rId87" xr:uid="{1B40E37A-838A-4D11-A33F-33127120D382}"/>
    <hyperlink ref="E87" r:id="rId88" xr:uid="{30886B58-E3B2-4AD6-A678-D144A4A78996}"/>
    <hyperlink ref="E88" r:id="rId89" xr:uid="{098C03CA-C3EF-446E-B03E-9DF91C1158E7}"/>
    <hyperlink ref="E89" r:id="rId90" xr:uid="{A9C145D5-8993-497E-82C2-B85276215C80}"/>
    <hyperlink ref="E90" r:id="rId91" xr:uid="{447C51CA-D192-4F4A-B92D-FE21C564E652}"/>
    <hyperlink ref="E91" r:id="rId92" xr:uid="{4F7A7D25-87D4-4732-B22E-20050514986B}"/>
    <hyperlink ref="E92" r:id="rId93" xr:uid="{862C8020-6353-43D7-8829-3C1E16DC6085}"/>
    <hyperlink ref="E93" r:id="rId94" xr:uid="{EBE74660-98C8-49CD-A92D-903DEC5DDDD0}"/>
    <hyperlink ref="E94" r:id="rId95" xr:uid="{81897749-9432-49C7-A19A-E260C80153CD}"/>
    <hyperlink ref="E95" r:id="rId96" xr:uid="{5CBAC168-E8D2-44B6-8E69-452ED334B368}"/>
    <hyperlink ref="E96" r:id="rId97" xr:uid="{137D196C-ED6E-41C9-A9ED-B8C602145F07}"/>
    <hyperlink ref="E97" r:id="rId98" xr:uid="{29B4BCFB-F7CC-43B0-89FC-98E636D45AC4}"/>
    <hyperlink ref="E98" r:id="rId99" xr:uid="{F3923A3A-4C4A-468A-B1A1-A09C5C1C8B72}"/>
    <hyperlink ref="E99" r:id="rId100" xr:uid="{1555BBA6-8CF7-4349-8571-893091514021}"/>
    <hyperlink ref="E100" r:id="rId101" xr:uid="{0F7FA4BF-A201-4A4E-91B5-84D042455869}"/>
    <hyperlink ref="E101" r:id="rId102" xr:uid="{741C2CA7-2EA8-4578-A46C-F129FD957511}"/>
    <hyperlink ref="E102" r:id="rId103" xr:uid="{3D71D9C3-7388-41E4-B974-DE96303A1792}"/>
    <hyperlink ref="E103" r:id="rId104" xr:uid="{06222BE6-6939-4C37-AF15-25F48F5394B3}"/>
    <hyperlink ref="E104" r:id="rId105" xr:uid="{70C24702-A4A6-4D8E-ACC7-F6AA9E480930}"/>
    <hyperlink ref="E105" r:id="rId106" xr:uid="{2DE94F6D-B1F7-4B38-A643-0B8AA8C4CABD}"/>
    <hyperlink ref="E106" r:id="rId107" xr:uid="{2EA40D75-DB37-4DB3-AC17-C72803CCEC42}"/>
    <hyperlink ref="E107" r:id="rId108" xr:uid="{103FBA5D-6717-4D63-ADA3-6C3CF7178C1C}"/>
    <hyperlink ref="E108" r:id="rId109" xr:uid="{C4F02930-0F89-4674-8A91-A761A26B1704}"/>
    <hyperlink ref="E109" r:id="rId110" xr:uid="{2C724CC8-B6E2-4630-BDE6-E08D2545DBCC}"/>
    <hyperlink ref="E110" r:id="rId111" xr:uid="{263A64C8-DE9D-48EC-A8B5-1C47B780F738}"/>
    <hyperlink ref="E111" r:id="rId112" xr:uid="{60472F21-6B08-4F4E-955C-36C5EE225B7E}"/>
    <hyperlink ref="E113" r:id="rId113" xr:uid="{AB74A941-B088-46AB-87F4-762ACA9943FB}"/>
    <hyperlink ref="E114" r:id="rId114" xr:uid="{6450A579-2FE6-42C3-906C-60BE1C1CA6BD}"/>
    <hyperlink ref="E116" r:id="rId115" xr:uid="{BF6B6E62-F2B1-42A0-A345-1B1D6698D7EC}"/>
    <hyperlink ref="E117" r:id="rId116" xr:uid="{43104204-378F-4B60-8487-954D3826E417}"/>
    <hyperlink ref="E118" r:id="rId117" xr:uid="{F92EF8DB-2663-46EC-9311-FF7386A5472D}"/>
    <hyperlink ref="E119" r:id="rId118" xr:uid="{FD0BEF54-40C4-4883-84CC-0384A2F562B3}"/>
    <hyperlink ref="E120" r:id="rId119" xr:uid="{FA2A318A-C94A-4AED-BC05-FAFC84EF20AE}"/>
    <hyperlink ref="E121" r:id="rId120" xr:uid="{2327DC50-D066-4F8E-82DF-4A2B4859EEC1}"/>
    <hyperlink ref="E122" r:id="rId121" xr:uid="{D548BAAE-F569-491C-9BFE-2E3C965FE63F}"/>
    <hyperlink ref="E123" r:id="rId122" xr:uid="{E03226DB-68E7-41EF-8D1B-C7365E635C20}"/>
    <hyperlink ref="E125" r:id="rId123" xr:uid="{D64EA453-2881-447E-9712-1BF36C03D6FE}"/>
    <hyperlink ref="E126" r:id="rId124" xr:uid="{CD774E17-D4B8-41D2-A080-52AED6CD5C3A}"/>
    <hyperlink ref="E127" r:id="rId125" xr:uid="{DCA4F3F2-DF92-44E5-9E4B-0D82CBFB94D0}"/>
    <hyperlink ref="E130" r:id="rId126" xr:uid="{14F8F9E5-1816-4A38-85C7-8ED2C3F92D9E}"/>
    <hyperlink ref="E131" r:id="rId127" xr:uid="{B5A3C935-15FD-449D-AE82-9015FD006F52}"/>
    <hyperlink ref="E132" r:id="rId128" xr:uid="{08270D2C-602A-4F28-AD2F-A402C0CBA32C}"/>
    <hyperlink ref="E133" r:id="rId129" xr:uid="{AD3B5A19-C069-475C-A7D5-DA66EC620739}"/>
    <hyperlink ref="E134" r:id="rId130" xr:uid="{E86C9591-400F-4403-ABDF-91F97786BD40}"/>
    <hyperlink ref="E135" r:id="rId131" xr:uid="{FB92BDF1-6C21-4A8F-BE69-25EBEDE0213E}"/>
    <hyperlink ref="E136" r:id="rId132" xr:uid="{2DC0C8B5-CA80-4DEA-A941-64B2F2842724}"/>
    <hyperlink ref="E137" r:id="rId133" xr:uid="{D4F7CC18-C735-4638-A4AA-9BCE40AC62E0}"/>
    <hyperlink ref="E138" r:id="rId134" xr:uid="{CEC27C10-BB0A-468F-87CA-C763DE0E86A0}"/>
    <hyperlink ref="E139" r:id="rId135" xr:uid="{FD61B86B-9749-4140-A2CF-2F2572B5F47E}"/>
    <hyperlink ref="E140" r:id="rId136" xr:uid="{EC590D12-9338-4F4C-A2D8-4A79E86D2BF9}"/>
    <hyperlink ref="E144" r:id="rId137" xr:uid="{9F3C2081-1CDB-4869-AB9B-4AC7CF92CCCA}"/>
    <hyperlink ref="E145" r:id="rId138" xr:uid="{DC1E00A8-6C78-4F8A-B5BA-1478816084E7}"/>
    <hyperlink ref="E147" r:id="rId139" xr:uid="{A2A1A29F-EA4E-4D8D-9207-FC3B3DB85051}"/>
    <hyperlink ref="E14" r:id="rId140" xr:uid="{C89ACC7F-FA2E-4D3D-8908-E7EDC19D9043}"/>
    <hyperlink ref="E5" r:id="rId141" xr:uid="{B728AC10-010C-4A50-B4CD-E68DEA1AC373}"/>
    <hyperlink ref="E2" r:id="rId142" xr:uid="{874BA068-ECD5-4522-95CC-237A7C3A197E}"/>
    <hyperlink ref="E15" r:id="rId143" xr:uid="{033DEC63-E8EF-4BD7-9254-4A8DFCC947FF}"/>
    <hyperlink ref="E10" r:id="rId144" xr:uid="{B1896EBA-992F-42F1-BAF4-73B69AAF8CD1}"/>
    <hyperlink ref="E3" r:id="rId145" xr:uid="{36156D0D-3B13-481A-9F53-7A371A503EF5}"/>
    <hyperlink ref="E4" r:id="rId146" xr:uid="{6211FFBB-5A6E-4946-BB10-DD27E4AAA252}"/>
    <hyperlink ref="E148" r:id="rId147" xr:uid="{C1E98B9E-E6C6-48C1-AECD-FF8A309F6008}"/>
    <hyperlink ref="E149" r:id="rId148" xr:uid="{971B1A15-B566-4CA1-98A9-6465AF03478B}"/>
    <hyperlink ref="E150" r:id="rId149" xr:uid="{CFB87430-E426-47FA-84CA-28066037558C}"/>
    <hyperlink ref="E151" r:id="rId150" xr:uid="{57FE9A16-AD52-4B42-8189-F809B5679ED3}"/>
    <hyperlink ref="E152" r:id="rId151" xr:uid="{85C3EC44-C928-470B-8692-06074D5B09E2}"/>
  </hyperlinks>
  <pageMargins left="0.7" right="0.7" top="0.75" bottom="0.75" header="0.3" footer="0.3"/>
  <pageSetup paperSize="9" orientation="portrait" r:id="rId152"/>
  <tableParts count="1">
    <tablePart r:id="rId1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AA4B-10A2-403D-977B-F09788CD10C5}">
  <dimension ref="A1"/>
  <sheetViews>
    <sheetView zoomScaleNormal="100" workbookViewId="0">
      <selection activeCell="K5" sqref="K5"/>
    </sheetView>
  </sheetViews>
  <sheetFormatPr baseColWidth="10" defaultColWidth="8.83203125" defaultRowHeight="1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96688-DE4A-4669-B663-FFDA9DAB19E7}">
  <dimension ref="A1:N147"/>
  <sheetViews>
    <sheetView topLeftCell="A7" zoomScaleNormal="100" workbookViewId="0">
      <selection activeCell="C19" sqref="C19"/>
    </sheetView>
  </sheetViews>
  <sheetFormatPr baseColWidth="10" defaultColWidth="8.83203125" defaultRowHeight="15" x14ac:dyDescent="0.2"/>
  <cols>
    <col min="1" max="1" width="21.33203125" style="1" bestFit="1" customWidth="1"/>
    <col min="2" max="2" width="20" style="1" bestFit="1" customWidth="1"/>
    <col min="3" max="3" width="26.83203125" style="1" bestFit="1" customWidth="1"/>
    <col min="4" max="8" width="12" style="1" bestFit="1" customWidth="1"/>
    <col min="9" max="9" width="28.5" style="1" bestFit="1" customWidth="1"/>
    <col min="10" max="12" width="12" style="1" bestFit="1" customWidth="1"/>
    <col min="13" max="13" width="9.1640625" style="1" bestFit="1" customWidth="1"/>
    <col min="14" max="14" width="12" style="1" bestFit="1" customWidth="1"/>
  </cols>
  <sheetData>
    <row r="1" spans="1:14" x14ac:dyDescent="0.2">
      <c r="A1" s="1" t="s">
        <v>289</v>
      </c>
      <c r="B1" s="1" t="s">
        <v>290</v>
      </c>
      <c r="C1" s="1" t="s">
        <v>291</v>
      </c>
      <c r="D1" s="1" t="s">
        <v>41</v>
      </c>
      <c r="E1" s="1" t="s">
        <v>33</v>
      </c>
      <c r="F1" s="1" t="s">
        <v>35</v>
      </c>
      <c r="G1" s="1" t="s">
        <v>26</v>
      </c>
      <c r="H1" s="1" t="s">
        <v>151</v>
      </c>
      <c r="I1" s="1" t="s">
        <v>292</v>
      </c>
      <c r="J1" s="1" t="s">
        <v>41</v>
      </c>
      <c r="K1" s="1" t="s">
        <v>33</v>
      </c>
      <c r="L1" s="1" t="s">
        <v>35</v>
      </c>
      <c r="M1" s="1" t="s">
        <v>26</v>
      </c>
      <c r="N1" s="1" t="s">
        <v>151</v>
      </c>
    </row>
    <row r="2" spans="1:14" x14ac:dyDescent="0.2">
      <c r="A2" s="1">
        <f>Table1[[#This Row],[Frequency (GHz)]]</f>
        <v>60</v>
      </c>
      <c r="B2" s="1">
        <f>300000000/(A2*1000000000)*1000/2</f>
        <v>2.5</v>
      </c>
      <c r="C2" s="1">
        <f>IF(ISNUMBER(Table1[[#This Row],[Chip Core Area / Element (mm2)]]),SQRT(Table1[[#This Row],[Chip Core Area / Element (mm2)]]),#N/A)</f>
        <v>1.7369585487282073</v>
      </c>
      <c r="D2" s="1">
        <f>IF(OR(Table1[[#This Row],[Type (TX, RX, TRX, Oscillator)]]="TX", Table1[[#This Row],[Type (TX, RX, TRX, Oscillator)]]="TX FE"),C2,#N/A)</f>
        <v>1.7369585487282073</v>
      </c>
      <c r="E2" s="1" t="e">
        <f>IF(OR(Table1[[#This Row],[Type (TX, RX, TRX, Oscillator)]]="RX", Table1[[#This Row],[Type (TX, RX, TRX, Oscillator)]]="RX FE"),C2,#N/A)</f>
        <v>#N/A</v>
      </c>
      <c r="F2" s="1" t="e">
        <f>IF(OR(Table1[[#This Row],[Type (TX, RX, TRX, Oscillator)]]="TRX", Table1[[#This Row],[Type (TX, RX, TRX, Oscillator)]]="TRX FE"),C2,#N/A)</f>
        <v>#N/A</v>
      </c>
      <c r="G2" s="1" t="e">
        <f>IF(Table1[[#This Row],[Type (TX, RX, TRX, Oscillator)]]="Oscillator",C2,#N/A)</f>
        <v>#N/A</v>
      </c>
      <c r="H2" s="1" t="e">
        <f>IF(Table1[[#This Row],[Type (TX, RX, TRX, Oscillator)]]="Relay",C2,#N/A)</f>
        <v>#N/A</v>
      </c>
      <c r="I2" s="1">
        <f>IF(ISNUMBER(Table1[[#This Row],[Array Aperture Area / Element (mm2)]]),SQRT(Table1[[#This Row],[Array Aperture Area / Element (mm2)]]),#N/A)</f>
        <v>6.9999999999999991</v>
      </c>
      <c r="J2" s="1">
        <f>IF(OR(Table1[[#This Row],[Type (TX, RX, TRX, Oscillator)]]="TX",Table1[[#This Row],[Type (TX, RX, TRX, Oscillator)]]="TX FE"),I2,#N/A)</f>
        <v>6.9999999999999991</v>
      </c>
      <c r="K2" s="1" t="e">
        <f>IF(OR(Table1[[#This Row],[Type (TX, RX, TRX, Oscillator)]]="RX",Table1[[#This Row],[Type (TX, RX, TRX, Oscillator)]]="RX FE"),I2,#N/A)</f>
        <v>#N/A</v>
      </c>
      <c r="L2" s="1" t="e">
        <f>IF(OR(Table1[[#This Row],[Type (TX, RX, TRX, Oscillator)]]="TRX", Table1[[#This Row],[Type (TX, RX, TRX, Oscillator)]]="TRX FE"),I2,#N/A)</f>
        <v>#N/A</v>
      </c>
      <c r="M2" s="1" t="e">
        <f>IF(Table1[[#This Row],[Type (TX, RX, TRX, Oscillator)]]="Oscillator",I2,#N/A)</f>
        <v>#N/A</v>
      </c>
      <c r="N2" s="1" t="e">
        <f>IF(Table1[[#This Row],[Type (TX, RX, TRX, Oscillator)]]="Relay",I2,#N/A)</f>
        <v>#N/A</v>
      </c>
    </row>
    <row r="3" spans="1:14" x14ac:dyDescent="0.2">
      <c r="A3" s="1">
        <f>Table1[[#This Row],[Frequency (GHz)]]</f>
        <v>60</v>
      </c>
      <c r="B3" s="1">
        <f t="shared" ref="B3:B66" si="0">300000000/(A3*1000000000)*1000/2</f>
        <v>2.5</v>
      </c>
      <c r="C3" s="1">
        <f>IF(ISNUMBER(Table1[[#This Row],[Chip Core Area / Element (mm2)]]),SQRT(Table1[[#This Row],[Chip Core Area / Element (mm2)]]),#N/A)</f>
        <v>1.6722805453099736</v>
      </c>
      <c r="D3" s="1" t="e">
        <f>IF(OR(Table1[[#This Row],[Type (TX, RX, TRX, Oscillator)]]="TX", Table1[[#This Row],[Type (TX, RX, TRX, Oscillator)]]="TX FE"),C3,#N/A)</f>
        <v>#N/A</v>
      </c>
      <c r="E3" s="1" t="e">
        <f>IF(OR(Table1[[#This Row],[Type (TX, RX, TRX, Oscillator)]]="RX", Table1[[#This Row],[Type (TX, RX, TRX, Oscillator)]]="RX FE"),C3,#N/A)</f>
        <v>#N/A</v>
      </c>
      <c r="F3" s="1">
        <f>IF(OR(Table1[[#This Row],[Type (TX, RX, TRX, Oscillator)]]="TRX", Table1[[#This Row],[Type (TX, RX, TRX, Oscillator)]]="TRX FE"),C3,#N/A)</f>
        <v>1.6722805453099736</v>
      </c>
      <c r="G3" s="1" t="e">
        <f>IF(Table1[[#This Row],[Type (TX, RX, TRX, Oscillator)]]="Oscillator",C3,#N/A)</f>
        <v>#N/A</v>
      </c>
      <c r="H3" s="1" t="e">
        <f>IF(Table1[[#This Row],[Type (TX, RX, TRX, Oscillator)]]="Relay",C3,#N/A)</f>
        <v>#N/A</v>
      </c>
      <c r="I3" s="1" t="e">
        <f>IF(ISNUMBER(Table1[[#This Row],[Array Aperture Area / Element (mm2)]]),SQRT(Table1[[#This Row],[Array Aperture Area / Element (mm2)]]),#N/A)</f>
        <v>#N/A</v>
      </c>
      <c r="J3" s="1" t="e">
        <f>IF(OR(Table1[[#This Row],[Type (TX, RX, TRX, Oscillator)]]="TX",Table1[[#This Row],[Type (TX, RX, TRX, Oscillator)]]="TX FE"),I3,#N/A)</f>
        <v>#N/A</v>
      </c>
      <c r="K3" s="1" t="e">
        <f>IF(OR(Table1[[#This Row],[Type (TX, RX, TRX, Oscillator)]]="RX",Table1[[#This Row],[Type (TX, RX, TRX, Oscillator)]]="RX FE"),I3,#N/A)</f>
        <v>#N/A</v>
      </c>
      <c r="L3" s="1" t="e">
        <f>IF(OR(Table1[[#This Row],[Type (TX, RX, TRX, Oscillator)]]="TRX", Table1[[#This Row],[Type (TX, RX, TRX, Oscillator)]]="TRX FE"),I3,#N/A)</f>
        <v>#N/A</v>
      </c>
      <c r="M3" s="1" t="e">
        <f>IF(Table1[[#This Row],[Type (TX, RX, TRX, Oscillator)]]="Oscillator",I3,#N/A)</f>
        <v>#N/A</v>
      </c>
      <c r="N3" s="1" t="e">
        <f>IF(Table1[[#This Row],[Type (TX, RX, TRX, Oscillator)]]="Relay",I3,#N/A)</f>
        <v>#N/A</v>
      </c>
    </row>
    <row r="4" spans="1:14" x14ac:dyDescent="0.2">
      <c r="A4" s="1">
        <f>Table1[[#This Row],[Frequency (GHz)]]</f>
        <v>60</v>
      </c>
      <c r="B4" s="1">
        <f t="shared" si="0"/>
        <v>2.5</v>
      </c>
      <c r="C4" s="1">
        <f>IF(ISNUMBER(Table1[[#This Row],[Chip Core Area / Element (mm2)]]),SQRT(Table1[[#This Row],[Chip Core Area / Element (mm2)]]),#N/A)</f>
        <v>1.5714626944347103</v>
      </c>
      <c r="D4" s="1" t="e">
        <f>IF(OR(Table1[[#This Row],[Type (TX, RX, TRX, Oscillator)]]="TX", Table1[[#This Row],[Type (TX, RX, TRX, Oscillator)]]="TX FE"),C4,#N/A)</f>
        <v>#N/A</v>
      </c>
      <c r="E4" s="1" t="e">
        <f>IF(OR(Table1[[#This Row],[Type (TX, RX, TRX, Oscillator)]]="RX", Table1[[#This Row],[Type (TX, RX, TRX, Oscillator)]]="RX FE"),C4,#N/A)</f>
        <v>#N/A</v>
      </c>
      <c r="F4" s="1">
        <f>IF(OR(Table1[[#This Row],[Type (TX, RX, TRX, Oscillator)]]="TRX", Table1[[#This Row],[Type (TX, RX, TRX, Oscillator)]]="TRX FE"),C4,#N/A)</f>
        <v>1.5714626944347103</v>
      </c>
      <c r="G4" s="1" t="e">
        <f>IF(Table1[[#This Row],[Type (TX, RX, TRX, Oscillator)]]="Oscillator",C4,#N/A)</f>
        <v>#N/A</v>
      </c>
      <c r="H4" s="1" t="e">
        <f>IF(Table1[[#This Row],[Type (TX, RX, TRX, Oscillator)]]="Relay",C4,#N/A)</f>
        <v>#N/A</v>
      </c>
      <c r="I4" s="1" t="e">
        <f>IF(ISNUMBER(Table1[[#This Row],[Array Aperture Area / Element (mm2)]]),SQRT(Table1[[#This Row],[Array Aperture Area / Element (mm2)]]),#N/A)</f>
        <v>#N/A</v>
      </c>
      <c r="J4" s="1" t="e">
        <f>IF(OR(Table1[[#This Row],[Type (TX, RX, TRX, Oscillator)]]="TX",Table1[[#This Row],[Type (TX, RX, TRX, Oscillator)]]="TX FE"),I4,#N/A)</f>
        <v>#N/A</v>
      </c>
      <c r="K4" s="1" t="e">
        <f>IF(OR(Table1[[#This Row],[Type (TX, RX, TRX, Oscillator)]]="RX",Table1[[#This Row],[Type (TX, RX, TRX, Oscillator)]]="RX FE"),I4,#N/A)</f>
        <v>#N/A</v>
      </c>
      <c r="L4" s="1" t="e">
        <f>IF(OR(Table1[[#This Row],[Type (TX, RX, TRX, Oscillator)]]="TRX", Table1[[#This Row],[Type (TX, RX, TRX, Oscillator)]]="TRX FE"),I4,#N/A)</f>
        <v>#N/A</v>
      </c>
      <c r="M4" s="1" t="e">
        <f>IF(Table1[[#This Row],[Type (TX, RX, TRX, Oscillator)]]="Oscillator",I4,#N/A)</f>
        <v>#N/A</v>
      </c>
      <c r="N4" s="1" t="e">
        <f>IF(Table1[[#This Row],[Type (TX, RX, TRX, Oscillator)]]="Relay",I4,#N/A)</f>
        <v>#N/A</v>
      </c>
    </row>
    <row r="5" spans="1:14" x14ac:dyDescent="0.2">
      <c r="A5" s="1">
        <f>Table1[[#This Row],[Frequency (GHz)]]</f>
        <v>60</v>
      </c>
      <c r="B5" s="1">
        <f t="shared" si="0"/>
        <v>2.5</v>
      </c>
      <c r="C5" s="1">
        <f>IF(ISNUMBER(Table1[[#This Row],[Chip Core Area / Element (mm2)]]),SQRT(Table1[[#This Row],[Chip Core Area / Element (mm2)]]),#N/A)</f>
        <v>1.4866068747318506</v>
      </c>
      <c r="D5" s="1" t="e">
        <f>IF(OR(Table1[[#This Row],[Type (TX, RX, TRX, Oscillator)]]="TX", Table1[[#This Row],[Type (TX, RX, TRX, Oscillator)]]="TX FE"),C5,#N/A)</f>
        <v>#N/A</v>
      </c>
      <c r="E5" s="1">
        <f>IF(OR(Table1[[#This Row],[Type (TX, RX, TRX, Oscillator)]]="RX", Table1[[#This Row],[Type (TX, RX, TRX, Oscillator)]]="RX FE"),C5,#N/A)</f>
        <v>1.4866068747318506</v>
      </c>
      <c r="F5" s="1" t="e">
        <f>IF(OR(Table1[[#This Row],[Type (TX, RX, TRX, Oscillator)]]="TRX", Table1[[#This Row],[Type (TX, RX, TRX, Oscillator)]]="TRX FE"),C5,#N/A)</f>
        <v>#N/A</v>
      </c>
      <c r="G5" s="1" t="e">
        <f>IF(Table1[[#This Row],[Type (TX, RX, TRX, Oscillator)]]="Oscillator",C5,#N/A)</f>
        <v>#N/A</v>
      </c>
      <c r="H5" s="1" t="e">
        <f>IF(Table1[[#This Row],[Type (TX, RX, TRX, Oscillator)]]="Relay",C5,#N/A)</f>
        <v>#N/A</v>
      </c>
      <c r="I5" s="1">
        <f>IF(ISNUMBER(Table1[[#This Row],[Array Aperture Area / Element (mm2)]]),SQRT(Table1[[#This Row],[Array Aperture Area / Element (mm2)]]),#N/A)</f>
        <v>6.9999999999999991</v>
      </c>
      <c r="J5" s="1" t="e">
        <f>IF(OR(Table1[[#This Row],[Type (TX, RX, TRX, Oscillator)]]="TX",Table1[[#This Row],[Type (TX, RX, TRX, Oscillator)]]="TX FE"),I5,#N/A)</f>
        <v>#N/A</v>
      </c>
      <c r="K5" s="1">
        <f>IF(OR(Table1[[#This Row],[Type (TX, RX, TRX, Oscillator)]]="RX",Table1[[#This Row],[Type (TX, RX, TRX, Oscillator)]]="RX FE"),I5,#N/A)</f>
        <v>6.9999999999999991</v>
      </c>
      <c r="L5" s="1" t="e">
        <f>IF(OR(Table1[[#This Row],[Type (TX, RX, TRX, Oscillator)]]="TRX", Table1[[#This Row],[Type (TX, RX, TRX, Oscillator)]]="TRX FE"),I5,#N/A)</f>
        <v>#N/A</v>
      </c>
      <c r="M5" s="1" t="e">
        <f>IF(Table1[[#This Row],[Type (TX, RX, TRX, Oscillator)]]="Oscillator",I5,#N/A)</f>
        <v>#N/A</v>
      </c>
      <c r="N5" s="1" t="e">
        <f>IF(Table1[[#This Row],[Type (TX, RX, TRX, Oscillator)]]="Relay",I5,#N/A)</f>
        <v>#N/A</v>
      </c>
    </row>
    <row r="6" spans="1:14" x14ac:dyDescent="0.2">
      <c r="A6" s="1">
        <f>Table1[[#This Row],[Frequency (GHz)]]</f>
        <v>110</v>
      </c>
      <c r="B6" s="1">
        <f t="shared" si="0"/>
        <v>1.3636363636363638</v>
      </c>
      <c r="C6" s="1">
        <f>IF(ISNUMBER(Table1[[#This Row],[Chip Core Area / Element (mm2)]]),SQRT(Table1[[#This Row],[Chip Core Area / Element (mm2)]]),#N/A)</f>
        <v>2.0128214029068747</v>
      </c>
      <c r="D6" s="1">
        <f>IF(OR(Table1[[#This Row],[Type (TX, RX, TRX, Oscillator)]]="TX", Table1[[#This Row],[Type (TX, RX, TRX, Oscillator)]]="TX FE"),C6,#N/A)</f>
        <v>2.0128214029068747</v>
      </c>
      <c r="E6" s="1" t="e">
        <f>IF(OR(Table1[[#This Row],[Type (TX, RX, TRX, Oscillator)]]="RX", Table1[[#This Row],[Type (TX, RX, TRX, Oscillator)]]="RX FE"),C6,#N/A)</f>
        <v>#N/A</v>
      </c>
      <c r="F6" s="1" t="e">
        <f>IF(OR(Table1[[#This Row],[Type (TX, RX, TRX, Oscillator)]]="TRX", Table1[[#This Row],[Type (TX, RX, TRX, Oscillator)]]="TRX FE"),C6,#N/A)</f>
        <v>#N/A</v>
      </c>
      <c r="G6" s="1" t="e">
        <f>IF(Table1[[#This Row],[Type (TX, RX, TRX, Oscillator)]]="Oscillator",C6,#N/A)</f>
        <v>#N/A</v>
      </c>
      <c r="H6" s="1" t="e">
        <f>IF(Table1[[#This Row],[Type (TX, RX, TRX, Oscillator)]]="Relay",C6,#N/A)</f>
        <v>#N/A</v>
      </c>
      <c r="I6" s="1">
        <f>IF(ISNUMBER(Table1[[#This Row],[Array Aperture Area / Element (mm2)]]),SQRT(Table1[[#This Row],[Array Aperture Area / Element (mm2)]]),#N/A)</f>
        <v>1.2098734437948457</v>
      </c>
      <c r="J6" s="1">
        <f>IF(OR(Table1[[#This Row],[Type (TX, RX, TRX, Oscillator)]]="TX",Table1[[#This Row],[Type (TX, RX, TRX, Oscillator)]]="TX FE"),I6,#N/A)</f>
        <v>1.2098734437948457</v>
      </c>
      <c r="K6" s="1" t="e">
        <f>IF(OR(Table1[[#This Row],[Type (TX, RX, TRX, Oscillator)]]="RX",Table1[[#This Row],[Type (TX, RX, TRX, Oscillator)]]="RX FE"),I6,#N/A)</f>
        <v>#N/A</v>
      </c>
      <c r="L6" s="1" t="e">
        <f>IF(OR(Table1[[#This Row],[Type (TX, RX, TRX, Oscillator)]]="TRX", Table1[[#This Row],[Type (TX, RX, TRX, Oscillator)]]="TRX FE"),I6,#N/A)</f>
        <v>#N/A</v>
      </c>
      <c r="M6" s="1" t="e">
        <f>IF(Table1[[#This Row],[Type (TX, RX, TRX, Oscillator)]]="Oscillator",I6,#N/A)</f>
        <v>#N/A</v>
      </c>
      <c r="N6" s="1" t="e">
        <f>IF(Table1[[#This Row],[Type (TX, RX, TRX, Oscillator)]]="Relay",I6,#N/A)</f>
        <v>#N/A</v>
      </c>
    </row>
    <row r="7" spans="1:14" x14ac:dyDescent="0.2">
      <c r="A7" s="1">
        <f>Table1[[#This Row],[Frequency (GHz)]]</f>
        <v>24.4</v>
      </c>
      <c r="B7" s="1">
        <f t="shared" si="0"/>
        <v>6.1475409836065573</v>
      </c>
      <c r="C7" s="1" t="e">
        <f>IF(ISNUMBER(Table1[[#This Row],[Chip Core Area / Element (mm2)]]),SQRT(Table1[[#This Row],[Chip Core Area / Element (mm2)]]),#N/A)</f>
        <v>#N/A</v>
      </c>
      <c r="D7" s="1" t="e">
        <f>IF(OR(Table1[[#This Row],[Type (TX, RX, TRX, Oscillator)]]="TX", Table1[[#This Row],[Type (TX, RX, TRX, Oscillator)]]="TX FE"),C7,#N/A)</f>
        <v>#N/A</v>
      </c>
      <c r="E7" s="1" t="e">
        <f>IF(OR(Table1[[#This Row],[Type (TX, RX, TRX, Oscillator)]]="RX", Table1[[#This Row],[Type (TX, RX, TRX, Oscillator)]]="RX FE"),C7,#N/A)</f>
        <v>#N/A</v>
      </c>
      <c r="F7" s="1" t="e">
        <f>IF(OR(Table1[[#This Row],[Type (TX, RX, TRX, Oscillator)]]="TRX", Table1[[#This Row],[Type (TX, RX, TRX, Oscillator)]]="TRX FE"),C7,#N/A)</f>
        <v>#N/A</v>
      </c>
      <c r="G7" s="1" t="e">
        <f>IF(Table1[[#This Row],[Type (TX, RX, TRX, Oscillator)]]="Oscillator",C7,#N/A)</f>
        <v>#N/A</v>
      </c>
      <c r="H7" s="1" t="e">
        <f>IF(Table1[[#This Row],[Type (TX, RX, TRX, Oscillator)]]="Relay",C7,#N/A)</f>
        <v>#N/A</v>
      </c>
      <c r="I7" s="1">
        <f>IF(ISNUMBER(Table1[[#This Row],[Array Aperture Area / Element (mm2)]]),SQRT(Table1[[#This Row],[Array Aperture Area / Element (mm2)]]),#N/A)</f>
        <v>8.4885144386937768</v>
      </c>
      <c r="J7" s="1" t="e">
        <f>IF(OR(Table1[[#This Row],[Type (TX, RX, TRX, Oscillator)]]="TX",Table1[[#This Row],[Type (TX, RX, TRX, Oscillator)]]="TX FE"),I7,#N/A)</f>
        <v>#N/A</v>
      </c>
      <c r="K7" s="1" t="e">
        <f>IF(OR(Table1[[#This Row],[Type (TX, RX, TRX, Oscillator)]]="RX",Table1[[#This Row],[Type (TX, RX, TRX, Oscillator)]]="RX FE"),I7,#N/A)</f>
        <v>#N/A</v>
      </c>
      <c r="L7" s="1" t="e">
        <f>IF(OR(Table1[[#This Row],[Type (TX, RX, TRX, Oscillator)]]="TRX", Table1[[#This Row],[Type (TX, RX, TRX, Oscillator)]]="TRX FE"),I7,#N/A)</f>
        <v>#N/A</v>
      </c>
      <c r="M7" s="1" t="e">
        <f>IF(Table1[[#This Row],[Type (TX, RX, TRX, Oscillator)]]="Oscillator",I7,#N/A)</f>
        <v>#N/A</v>
      </c>
      <c r="N7" s="1">
        <f>IF(Table1[[#This Row],[Type (TX, RX, TRX, Oscillator)]]="Relay",I7,#N/A)</f>
        <v>8.4885144386937768</v>
      </c>
    </row>
    <row r="8" spans="1:14" x14ac:dyDescent="0.2">
      <c r="A8" s="1">
        <f>Table1[[#This Row],[Frequency (GHz)]]</f>
        <v>35.5</v>
      </c>
      <c r="B8" s="1">
        <f t="shared" si="0"/>
        <v>4.225352112676056</v>
      </c>
      <c r="C8" s="1" t="e">
        <f>IF(ISNUMBER(Table1[[#This Row],[Chip Core Area / Element (mm2)]]),SQRT(Table1[[#This Row],[Chip Core Area / Element (mm2)]]),#N/A)</f>
        <v>#N/A</v>
      </c>
      <c r="D8" s="1" t="e">
        <f>IF(OR(Table1[[#This Row],[Type (TX, RX, TRX, Oscillator)]]="TX", Table1[[#This Row],[Type (TX, RX, TRX, Oscillator)]]="TX FE"),C8,#N/A)</f>
        <v>#N/A</v>
      </c>
      <c r="E8" s="1" t="e">
        <f>IF(OR(Table1[[#This Row],[Type (TX, RX, TRX, Oscillator)]]="RX", Table1[[#This Row],[Type (TX, RX, TRX, Oscillator)]]="RX FE"),C8,#N/A)</f>
        <v>#N/A</v>
      </c>
      <c r="F8" s="1" t="e">
        <f>IF(OR(Table1[[#This Row],[Type (TX, RX, TRX, Oscillator)]]="TRX", Table1[[#This Row],[Type (TX, RX, TRX, Oscillator)]]="TRX FE"),C8,#N/A)</f>
        <v>#N/A</v>
      </c>
      <c r="G8" s="1" t="e">
        <f>IF(Table1[[#This Row],[Type (TX, RX, TRX, Oscillator)]]="Oscillator",C8,#N/A)</f>
        <v>#N/A</v>
      </c>
      <c r="H8" s="1" t="e">
        <f>IF(Table1[[#This Row],[Type (TX, RX, TRX, Oscillator)]]="Relay",C8,#N/A)</f>
        <v>#N/A</v>
      </c>
      <c r="I8" s="1">
        <f>IF(ISNUMBER(Table1[[#This Row],[Array Aperture Area / Element (mm2)]]),SQRT(Table1[[#This Row],[Array Aperture Area / Element (mm2)]]),#N/A)</f>
        <v>7.9585527305101369</v>
      </c>
      <c r="J8" s="1" t="e">
        <f>IF(OR(Table1[[#This Row],[Type (TX, RX, TRX, Oscillator)]]="TX",Table1[[#This Row],[Type (TX, RX, TRX, Oscillator)]]="TX FE"),I8,#N/A)</f>
        <v>#N/A</v>
      </c>
      <c r="K8" s="1" t="e">
        <f>IF(OR(Table1[[#This Row],[Type (TX, RX, TRX, Oscillator)]]="RX",Table1[[#This Row],[Type (TX, RX, TRX, Oscillator)]]="RX FE"),I8,#N/A)</f>
        <v>#N/A</v>
      </c>
      <c r="L8" s="1" t="e">
        <f>IF(OR(Table1[[#This Row],[Type (TX, RX, TRX, Oscillator)]]="TRX", Table1[[#This Row],[Type (TX, RX, TRX, Oscillator)]]="TRX FE"),I8,#N/A)</f>
        <v>#N/A</v>
      </c>
      <c r="M8" s="1" t="e">
        <f>IF(Table1[[#This Row],[Type (TX, RX, TRX, Oscillator)]]="Oscillator",I8,#N/A)</f>
        <v>#N/A</v>
      </c>
      <c r="N8" s="1">
        <f>IF(Table1[[#This Row],[Type (TX, RX, TRX, Oscillator)]]="Relay",I8,#N/A)</f>
        <v>7.9585527305101369</v>
      </c>
    </row>
    <row r="9" spans="1:14" x14ac:dyDescent="0.2">
      <c r="A9" s="1">
        <f>Table1[[#This Row],[Frequency (GHz)]]</f>
        <v>10.1</v>
      </c>
      <c r="B9" s="1">
        <f t="shared" si="0"/>
        <v>14.85148514851485</v>
      </c>
      <c r="C9" s="1" t="e">
        <f>IF(ISNUMBER(Table1[[#This Row],[Chip Core Area / Element (mm2)]]),SQRT(Table1[[#This Row],[Chip Core Area / Element (mm2)]]),#N/A)</f>
        <v>#N/A</v>
      </c>
      <c r="D9" s="1" t="e">
        <f>IF(OR(Table1[[#This Row],[Type (TX, RX, TRX, Oscillator)]]="TX", Table1[[#This Row],[Type (TX, RX, TRX, Oscillator)]]="TX FE"),C9,#N/A)</f>
        <v>#N/A</v>
      </c>
      <c r="E9" s="1" t="e">
        <f>IF(OR(Table1[[#This Row],[Type (TX, RX, TRX, Oscillator)]]="RX", Table1[[#This Row],[Type (TX, RX, TRX, Oscillator)]]="RX FE"),C9,#N/A)</f>
        <v>#N/A</v>
      </c>
      <c r="F9" s="1" t="e">
        <f>IF(OR(Table1[[#This Row],[Type (TX, RX, TRX, Oscillator)]]="TRX", Table1[[#This Row],[Type (TX, RX, TRX, Oscillator)]]="TRX FE"),C9,#N/A)</f>
        <v>#N/A</v>
      </c>
      <c r="G9" s="1" t="e">
        <f>IF(Table1[[#This Row],[Type (TX, RX, TRX, Oscillator)]]="Oscillator",C9,#N/A)</f>
        <v>#N/A</v>
      </c>
      <c r="H9" s="1" t="e">
        <f>IF(Table1[[#This Row],[Type (TX, RX, TRX, Oscillator)]]="Relay",C9,#N/A)</f>
        <v>#N/A</v>
      </c>
      <c r="I9" s="1">
        <f>IF(ISNUMBER(Table1[[#This Row],[Array Aperture Area / Element (mm2)]]),SQRT(Table1[[#This Row],[Array Aperture Area / Element (mm2)]]),#N/A)</f>
        <v>18.382096332494079</v>
      </c>
      <c r="J9" s="1" t="e">
        <f>IF(OR(Table1[[#This Row],[Type (TX, RX, TRX, Oscillator)]]="TX",Table1[[#This Row],[Type (TX, RX, TRX, Oscillator)]]="TX FE"),I9,#N/A)</f>
        <v>#N/A</v>
      </c>
      <c r="K9" s="1" t="e">
        <f>IF(OR(Table1[[#This Row],[Type (TX, RX, TRX, Oscillator)]]="RX",Table1[[#This Row],[Type (TX, RX, TRX, Oscillator)]]="RX FE"),I9,#N/A)</f>
        <v>#N/A</v>
      </c>
      <c r="L9" s="1" t="e">
        <f>IF(OR(Table1[[#This Row],[Type (TX, RX, TRX, Oscillator)]]="TRX", Table1[[#This Row],[Type (TX, RX, TRX, Oscillator)]]="TRX FE"),I9,#N/A)</f>
        <v>#N/A</v>
      </c>
      <c r="M9" s="1" t="e">
        <f>IF(Table1[[#This Row],[Type (TX, RX, TRX, Oscillator)]]="Oscillator",I9,#N/A)</f>
        <v>#N/A</v>
      </c>
      <c r="N9" s="1">
        <f>IF(Table1[[#This Row],[Type (TX, RX, TRX, Oscillator)]]="Relay",I9,#N/A)</f>
        <v>18.382096332494079</v>
      </c>
    </row>
    <row r="10" spans="1:14" x14ac:dyDescent="0.2">
      <c r="A10" s="1">
        <f>Table1[[#This Row],[Frequency (GHz)]]</f>
        <v>60</v>
      </c>
      <c r="B10" s="1">
        <f t="shared" si="0"/>
        <v>2.5</v>
      </c>
      <c r="C10" s="1">
        <f>IF(ISNUMBER(Table1[[#This Row],[Chip Core Area / Element (mm2)]]),SQRT(Table1[[#This Row],[Chip Core Area / Element (mm2)]]),#N/A)</f>
        <v>0.78262379212492639</v>
      </c>
      <c r="D10" s="1" t="e">
        <f>IF(OR(Table1[[#This Row],[Type (TX, RX, TRX, Oscillator)]]="TX", Table1[[#This Row],[Type (TX, RX, TRX, Oscillator)]]="TX FE"),C10,#N/A)</f>
        <v>#N/A</v>
      </c>
      <c r="E10" s="1" t="e">
        <f>IF(OR(Table1[[#This Row],[Type (TX, RX, TRX, Oscillator)]]="RX", Table1[[#This Row],[Type (TX, RX, TRX, Oscillator)]]="RX FE"),C10,#N/A)</f>
        <v>#N/A</v>
      </c>
      <c r="F10" s="1">
        <f>IF(OR(Table1[[#This Row],[Type (TX, RX, TRX, Oscillator)]]="TRX", Table1[[#This Row],[Type (TX, RX, TRX, Oscillator)]]="TRX FE"),C10,#N/A)</f>
        <v>0.78262379212492639</v>
      </c>
      <c r="G10" s="1" t="e">
        <f>IF(Table1[[#This Row],[Type (TX, RX, TRX, Oscillator)]]="Oscillator",C10,#N/A)</f>
        <v>#N/A</v>
      </c>
      <c r="H10" s="1" t="e">
        <f>IF(Table1[[#This Row],[Type (TX, RX, TRX, Oscillator)]]="Relay",C10,#N/A)</f>
        <v>#N/A</v>
      </c>
      <c r="I10" s="1">
        <f>IF(ISNUMBER(Table1[[#This Row],[Array Aperture Area / Element (mm2)]]),SQRT(Table1[[#This Row],[Array Aperture Area / Element (mm2)]]),#N/A)</f>
        <v>4.4194173824159222</v>
      </c>
      <c r="J10" s="1" t="e">
        <f>IF(OR(Table1[[#This Row],[Type (TX, RX, TRX, Oscillator)]]="TX",Table1[[#This Row],[Type (TX, RX, TRX, Oscillator)]]="TX FE"),I10,#N/A)</f>
        <v>#N/A</v>
      </c>
      <c r="K10" s="1" t="e">
        <f>IF(OR(Table1[[#This Row],[Type (TX, RX, TRX, Oscillator)]]="RX",Table1[[#This Row],[Type (TX, RX, TRX, Oscillator)]]="RX FE"),I10,#N/A)</f>
        <v>#N/A</v>
      </c>
      <c r="L10" s="1">
        <f>IF(OR(Table1[[#This Row],[Type (TX, RX, TRX, Oscillator)]]="TRX", Table1[[#This Row],[Type (TX, RX, TRX, Oscillator)]]="TRX FE"),I10,#N/A)</f>
        <v>4.4194173824159222</v>
      </c>
      <c r="M10" s="1" t="e">
        <f>IF(Table1[[#This Row],[Type (TX, RX, TRX, Oscillator)]]="Oscillator",I10,#N/A)</f>
        <v>#N/A</v>
      </c>
      <c r="N10" s="1" t="e">
        <f>IF(Table1[[#This Row],[Type (TX, RX, TRX, Oscillator)]]="Relay",I10,#N/A)</f>
        <v>#N/A</v>
      </c>
    </row>
    <row r="11" spans="1:14" x14ac:dyDescent="0.2">
      <c r="A11" s="1">
        <f>Table1[[#This Row],[Frequency (GHz)]]</f>
        <v>92</v>
      </c>
      <c r="B11" s="1">
        <f t="shared" si="0"/>
        <v>1.6304347826086956</v>
      </c>
      <c r="C11" s="1">
        <f>IF(ISNUMBER(Table1[[#This Row],[Chip Core Area / Element (mm2)]]),SQRT(Table1[[#This Row],[Chip Core Area / Element (mm2)]]),#N/A)</f>
        <v>1.5683869101723591</v>
      </c>
      <c r="D11" s="1" t="e">
        <f>IF(OR(Table1[[#This Row],[Type (TX, RX, TRX, Oscillator)]]="TX", Table1[[#This Row],[Type (TX, RX, TRX, Oscillator)]]="TX FE"),C11,#N/A)</f>
        <v>#N/A</v>
      </c>
      <c r="E11" s="1" t="e">
        <f>IF(OR(Table1[[#This Row],[Type (TX, RX, TRX, Oscillator)]]="RX", Table1[[#This Row],[Type (TX, RX, TRX, Oscillator)]]="RX FE"),C11,#N/A)</f>
        <v>#N/A</v>
      </c>
      <c r="F11" s="1">
        <f>IF(OR(Table1[[#This Row],[Type (TX, RX, TRX, Oscillator)]]="TRX", Table1[[#This Row],[Type (TX, RX, TRX, Oscillator)]]="TRX FE"),C11,#N/A)</f>
        <v>1.5683869101723591</v>
      </c>
      <c r="G11" s="1" t="e">
        <f>IF(Table1[[#This Row],[Type (TX, RX, TRX, Oscillator)]]="Oscillator",C11,#N/A)</f>
        <v>#N/A</v>
      </c>
      <c r="H11" s="1" t="e">
        <f>IF(Table1[[#This Row],[Type (TX, RX, TRX, Oscillator)]]="Relay",C11,#N/A)</f>
        <v>#N/A</v>
      </c>
      <c r="I11" s="1">
        <f>IF(ISNUMBER(Table1[[#This Row],[Array Aperture Area / Element (mm2)]]),SQRT(Table1[[#This Row],[Array Aperture Area / Element (mm2)]]),#N/A)</f>
        <v>1.5625</v>
      </c>
      <c r="J11" s="1" t="e">
        <f>IF(OR(Table1[[#This Row],[Type (TX, RX, TRX, Oscillator)]]="TX",Table1[[#This Row],[Type (TX, RX, TRX, Oscillator)]]="TX FE"),I11,#N/A)</f>
        <v>#N/A</v>
      </c>
      <c r="K11" s="1" t="e">
        <f>IF(OR(Table1[[#This Row],[Type (TX, RX, TRX, Oscillator)]]="RX",Table1[[#This Row],[Type (TX, RX, TRX, Oscillator)]]="RX FE"),I11,#N/A)</f>
        <v>#N/A</v>
      </c>
      <c r="L11" s="1">
        <f>IF(OR(Table1[[#This Row],[Type (TX, RX, TRX, Oscillator)]]="TRX", Table1[[#This Row],[Type (TX, RX, TRX, Oscillator)]]="TRX FE"),I11,#N/A)</f>
        <v>1.5625</v>
      </c>
      <c r="M11" s="1" t="e">
        <f>IF(Table1[[#This Row],[Type (TX, RX, TRX, Oscillator)]]="Oscillator",I11,#N/A)</f>
        <v>#N/A</v>
      </c>
      <c r="N11" s="1" t="e">
        <f>IF(Table1[[#This Row],[Type (TX, RX, TRX, Oscillator)]]="Relay",I11,#N/A)</f>
        <v>#N/A</v>
      </c>
    </row>
    <row r="12" spans="1:14" x14ac:dyDescent="0.2">
      <c r="A12" s="1">
        <f>Table1[[#This Row],[Frequency (GHz)]]</f>
        <v>97</v>
      </c>
      <c r="B12" s="1">
        <f t="shared" si="0"/>
        <v>1.5463917525773194</v>
      </c>
      <c r="C12" s="1">
        <f>IF(ISNUMBER(Table1[[#This Row],[Chip Core Area / Element (mm2)]]),SQRT(Table1[[#This Row],[Chip Core Area / Element (mm2)]]),#N/A)</f>
        <v>1.4695917800532228</v>
      </c>
      <c r="D12" s="1" t="e">
        <f>IF(OR(Table1[[#This Row],[Type (TX, RX, TRX, Oscillator)]]="TX", Table1[[#This Row],[Type (TX, RX, TRX, Oscillator)]]="TX FE"),C12,#N/A)</f>
        <v>#N/A</v>
      </c>
      <c r="E12" s="1" t="e">
        <f>IF(OR(Table1[[#This Row],[Type (TX, RX, TRX, Oscillator)]]="RX", Table1[[#This Row],[Type (TX, RX, TRX, Oscillator)]]="RX FE"),C12,#N/A)</f>
        <v>#N/A</v>
      </c>
      <c r="F12" s="1">
        <f>IF(OR(Table1[[#This Row],[Type (TX, RX, TRX, Oscillator)]]="TRX", Table1[[#This Row],[Type (TX, RX, TRX, Oscillator)]]="TRX FE"),C12,#N/A)</f>
        <v>1.4695917800532228</v>
      </c>
      <c r="G12" s="1" t="e">
        <f>IF(Table1[[#This Row],[Type (TX, RX, TRX, Oscillator)]]="Oscillator",C12,#N/A)</f>
        <v>#N/A</v>
      </c>
      <c r="H12" s="1" t="e">
        <f>IF(Table1[[#This Row],[Type (TX, RX, TRX, Oscillator)]]="Relay",C12,#N/A)</f>
        <v>#N/A</v>
      </c>
      <c r="I12" s="1" t="e">
        <f>IF(ISNUMBER(Table1[[#This Row],[Array Aperture Area / Element (mm2)]]),SQRT(Table1[[#This Row],[Array Aperture Area / Element (mm2)]]),#N/A)</f>
        <v>#N/A</v>
      </c>
      <c r="J12" s="1" t="e">
        <f>IF(OR(Table1[[#This Row],[Type (TX, RX, TRX, Oscillator)]]="TX",Table1[[#This Row],[Type (TX, RX, TRX, Oscillator)]]="TX FE"),I12,#N/A)</f>
        <v>#N/A</v>
      </c>
      <c r="K12" s="1" t="e">
        <f>IF(OR(Table1[[#This Row],[Type (TX, RX, TRX, Oscillator)]]="RX",Table1[[#This Row],[Type (TX, RX, TRX, Oscillator)]]="RX FE"),I12,#N/A)</f>
        <v>#N/A</v>
      </c>
      <c r="L12" s="1" t="e">
        <f>IF(OR(Table1[[#This Row],[Type (TX, RX, TRX, Oscillator)]]="TRX", Table1[[#This Row],[Type (TX, RX, TRX, Oscillator)]]="TRX FE"),I12,#N/A)</f>
        <v>#N/A</v>
      </c>
      <c r="M12" s="1" t="e">
        <f>IF(Table1[[#This Row],[Type (TX, RX, TRX, Oscillator)]]="Oscillator",I12,#N/A)</f>
        <v>#N/A</v>
      </c>
      <c r="N12" s="1" t="e">
        <f>IF(Table1[[#This Row],[Type (TX, RX, TRX, Oscillator)]]="Relay",I12,#N/A)</f>
        <v>#N/A</v>
      </c>
    </row>
    <row r="13" spans="1:14" x14ac:dyDescent="0.2">
      <c r="A13" s="1">
        <f>Table1[[#This Row],[Frequency (GHz)]]</f>
        <v>32</v>
      </c>
      <c r="B13" s="1">
        <f t="shared" si="0"/>
        <v>4.6875</v>
      </c>
      <c r="C13" s="1" t="e">
        <f>IF(ISNUMBER(Table1[[#This Row],[Chip Core Area / Element (mm2)]]),SQRT(Table1[[#This Row],[Chip Core Area / Element (mm2)]]),#N/A)</f>
        <v>#N/A</v>
      </c>
      <c r="D13" s="1" t="e">
        <f>IF(OR(Table1[[#This Row],[Type (TX, RX, TRX, Oscillator)]]="TX", Table1[[#This Row],[Type (TX, RX, TRX, Oscillator)]]="TX FE"),C13,#N/A)</f>
        <v>#N/A</v>
      </c>
      <c r="E13" s="1" t="e">
        <f>IF(OR(Table1[[#This Row],[Type (TX, RX, TRX, Oscillator)]]="RX", Table1[[#This Row],[Type (TX, RX, TRX, Oscillator)]]="RX FE"),C13,#N/A)</f>
        <v>#N/A</v>
      </c>
      <c r="F13" s="1" t="e">
        <f>IF(OR(Table1[[#This Row],[Type (TX, RX, TRX, Oscillator)]]="TRX", Table1[[#This Row],[Type (TX, RX, TRX, Oscillator)]]="TRX FE"),C13,#N/A)</f>
        <v>#N/A</v>
      </c>
      <c r="G13" s="1" t="e">
        <f>IF(Table1[[#This Row],[Type (TX, RX, TRX, Oscillator)]]="Oscillator",C13,#N/A)</f>
        <v>#N/A</v>
      </c>
      <c r="H13" s="1" t="e">
        <f>IF(Table1[[#This Row],[Type (TX, RX, TRX, Oscillator)]]="Relay",C13,#N/A)</f>
        <v>#N/A</v>
      </c>
      <c r="I13" s="1">
        <f>IF(ISNUMBER(Table1[[#This Row],[Array Aperture Area / Element (mm2)]]),SQRT(Table1[[#This Row],[Array Aperture Area / Element (mm2)]]),#N/A)</f>
        <v>5</v>
      </c>
      <c r="J13" s="1" t="e">
        <f>IF(OR(Table1[[#This Row],[Type (TX, RX, TRX, Oscillator)]]="TX",Table1[[#This Row],[Type (TX, RX, TRX, Oscillator)]]="TX FE"),I13,#N/A)</f>
        <v>#N/A</v>
      </c>
      <c r="K13" s="1" t="e">
        <f>IF(OR(Table1[[#This Row],[Type (TX, RX, TRX, Oscillator)]]="RX",Table1[[#This Row],[Type (TX, RX, TRX, Oscillator)]]="RX FE"),I13,#N/A)</f>
        <v>#N/A</v>
      </c>
      <c r="L13" s="1" t="e">
        <f>IF(OR(Table1[[#This Row],[Type (TX, RX, TRX, Oscillator)]]="TRX", Table1[[#This Row],[Type (TX, RX, TRX, Oscillator)]]="TRX FE"),I13,#N/A)</f>
        <v>#N/A</v>
      </c>
      <c r="M13" s="1" t="e">
        <f>IF(Table1[[#This Row],[Type (TX, RX, TRX, Oscillator)]]="Oscillator",I13,#N/A)</f>
        <v>#N/A</v>
      </c>
      <c r="N13" s="1">
        <f>IF(Table1[[#This Row],[Type (TX, RX, TRX, Oscillator)]]="Relay",I13,#N/A)</f>
        <v>5</v>
      </c>
    </row>
    <row r="14" spans="1:14" x14ac:dyDescent="0.2">
      <c r="A14" s="1">
        <f>Table1[[#This Row],[Frequency (GHz)]]</f>
        <v>338</v>
      </c>
      <c r="B14" s="1">
        <f t="shared" si="0"/>
        <v>0.4437869822485207</v>
      </c>
      <c r="C14" s="1">
        <f>IF(ISNUMBER(Table1[[#This Row],[Chip Core Area / Element (mm2)]]),SQRT(Table1[[#This Row],[Chip Core Area / Element (mm2)]]),#N/A)</f>
        <v>0.59245252974394502</v>
      </c>
      <c r="D14" s="1" t="e">
        <f>IF(OR(Table1[[#This Row],[Type (TX, RX, TRX, Oscillator)]]="TX", Table1[[#This Row],[Type (TX, RX, TRX, Oscillator)]]="TX FE"),C14,#N/A)</f>
        <v>#N/A</v>
      </c>
      <c r="E14" s="1" t="e">
        <f>IF(OR(Table1[[#This Row],[Type (TX, RX, TRX, Oscillator)]]="RX", Table1[[#This Row],[Type (TX, RX, TRX, Oscillator)]]="RX FE"),C14,#N/A)</f>
        <v>#N/A</v>
      </c>
      <c r="F14" s="1" t="e">
        <f>IF(OR(Table1[[#This Row],[Type (TX, RX, TRX, Oscillator)]]="TRX", Table1[[#This Row],[Type (TX, RX, TRX, Oscillator)]]="TRX FE"),C14,#N/A)</f>
        <v>#N/A</v>
      </c>
      <c r="G14" s="1">
        <f>IF(Table1[[#This Row],[Type (TX, RX, TRX, Oscillator)]]="Oscillator",C14,#N/A)</f>
        <v>0.59245252974394502</v>
      </c>
      <c r="H14" s="1" t="e">
        <f>IF(Table1[[#This Row],[Type (TX, RX, TRX, Oscillator)]]="Relay",C14,#N/A)</f>
        <v>#N/A</v>
      </c>
      <c r="I14" s="1" t="e">
        <f>IF(ISNUMBER(Table1[[#This Row],[Array Aperture Area / Element (mm2)]]),SQRT(Table1[[#This Row],[Array Aperture Area / Element (mm2)]]),#N/A)</f>
        <v>#N/A</v>
      </c>
      <c r="J14" s="1" t="e">
        <f>IF(OR(Table1[[#This Row],[Type (TX, RX, TRX, Oscillator)]]="TX",Table1[[#This Row],[Type (TX, RX, TRX, Oscillator)]]="TX FE"),I14,#N/A)</f>
        <v>#N/A</v>
      </c>
      <c r="K14" s="1" t="e">
        <f>IF(OR(Table1[[#This Row],[Type (TX, RX, TRX, Oscillator)]]="RX",Table1[[#This Row],[Type (TX, RX, TRX, Oscillator)]]="RX FE"),I14,#N/A)</f>
        <v>#N/A</v>
      </c>
      <c r="L14" s="1" t="e">
        <f>IF(OR(Table1[[#This Row],[Type (TX, RX, TRX, Oscillator)]]="TRX", Table1[[#This Row],[Type (TX, RX, TRX, Oscillator)]]="TRX FE"),I14,#N/A)</f>
        <v>#N/A</v>
      </c>
      <c r="M14" s="1" t="e">
        <f>IF(Table1[[#This Row],[Type (TX, RX, TRX, Oscillator)]]="Oscillator",I14,#N/A)</f>
        <v>#N/A</v>
      </c>
      <c r="N14" s="1" t="e">
        <f>IF(Table1[[#This Row],[Type (TX, RX, TRX, Oscillator)]]="Relay",I14,#N/A)</f>
        <v>#N/A</v>
      </c>
    </row>
    <row r="15" spans="1:14" x14ac:dyDescent="0.2">
      <c r="A15" s="1">
        <f>Table1[[#This Row],[Frequency (GHz)]]</f>
        <v>60</v>
      </c>
      <c r="B15" s="1">
        <f t="shared" si="0"/>
        <v>2.5</v>
      </c>
      <c r="C15" s="1">
        <f>IF(ISNUMBER(Table1[[#This Row],[Chip Core Area / Element (mm2)]]),SQRT(Table1[[#This Row],[Chip Core Area / Element (mm2)]]),#N/A)</f>
        <v>0.93570828787608806</v>
      </c>
      <c r="D15" s="1" t="e">
        <f>IF(OR(Table1[[#This Row],[Type (TX, RX, TRX, Oscillator)]]="TX", Table1[[#This Row],[Type (TX, RX, TRX, Oscillator)]]="TX FE"),C15,#N/A)</f>
        <v>#N/A</v>
      </c>
      <c r="E15" s="1" t="e">
        <f>IF(OR(Table1[[#This Row],[Type (TX, RX, TRX, Oscillator)]]="RX", Table1[[#This Row],[Type (TX, RX, TRX, Oscillator)]]="RX FE"),C15,#N/A)</f>
        <v>#N/A</v>
      </c>
      <c r="F15" s="1">
        <f>IF(OR(Table1[[#This Row],[Type (TX, RX, TRX, Oscillator)]]="TRX", Table1[[#This Row],[Type (TX, RX, TRX, Oscillator)]]="TRX FE"),C15,#N/A)</f>
        <v>0.93570828787608806</v>
      </c>
      <c r="G15" s="1" t="e">
        <f>IF(Table1[[#This Row],[Type (TX, RX, TRX, Oscillator)]]="Oscillator",C15,#N/A)</f>
        <v>#N/A</v>
      </c>
      <c r="H15" s="1" t="e">
        <f>IF(Table1[[#This Row],[Type (TX, RX, TRX, Oscillator)]]="Relay",C15,#N/A)</f>
        <v>#N/A</v>
      </c>
      <c r="I15" s="1" t="e">
        <f>IF(ISNUMBER(Table1[[#This Row],[Array Aperture Area / Element (mm2)]]),SQRT(Table1[[#This Row],[Array Aperture Area / Element (mm2)]]),#N/A)</f>
        <v>#N/A</v>
      </c>
      <c r="J15" s="1" t="e">
        <f>IF(OR(Table1[[#This Row],[Type (TX, RX, TRX, Oscillator)]]="TX",Table1[[#This Row],[Type (TX, RX, TRX, Oscillator)]]="TX FE"),I15,#N/A)</f>
        <v>#N/A</v>
      </c>
      <c r="K15" s="1" t="e">
        <f>IF(OR(Table1[[#This Row],[Type (TX, RX, TRX, Oscillator)]]="RX",Table1[[#This Row],[Type (TX, RX, TRX, Oscillator)]]="RX FE"),I15,#N/A)</f>
        <v>#N/A</v>
      </c>
      <c r="L15" s="1" t="e">
        <f>IF(OR(Table1[[#This Row],[Type (TX, RX, TRX, Oscillator)]]="TRX", Table1[[#This Row],[Type (TX, RX, TRX, Oscillator)]]="TRX FE"),I15,#N/A)</f>
        <v>#N/A</v>
      </c>
      <c r="M15" s="1" t="e">
        <f>IF(Table1[[#This Row],[Type (TX, RX, TRX, Oscillator)]]="Oscillator",I15,#N/A)</f>
        <v>#N/A</v>
      </c>
      <c r="N15" s="1" t="e">
        <f>IF(Table1[[#This Row],[Type (TX, RX, TRX, Oscillator)]]="Relay",I15,#N/A)</f>
        <v>#N/A</v>
      </c>
    </row>
    <row r="16" spans="1:14" x14ac:dyDescent="0.2">
      <c r="A16" s="1">
        <f>Table1[[#This Row],[Frequency (GHz)]]</f>
        <v>70</v>
      </c>
      <c r="B16" s="1">
        <f t="shared" si="0"/>
        <v>2.1428571428571428</v>
      </c>
      <c r="C16" s="1">
        <f>IF(ISNUMBER(Table1[[#This Row],[Chip Core Area / Element (mm2)]]),SQRT(Table1[[#This Row],[Chip Core Area / Element (mm2)]]),#N/A)</f>
        <v>1.4633181472256811</v>
      </c>
      <c r="D16" s="1" t="e">
        <f>IF(OR(Table1[[#This Row],[Type (TX, RX, TRX, Oscillator)]]="TX", Table1[[#This Row],[Type (TX, RX, TRX, Oscillator)]]="TX FE"),C16,#N/A)</f>
        <v>#N/A</v>
      </c>
      <c r="E16" s="1" t="e">
        <f>IF(OR(Table1[[#This Row],[Type (TX, RX, TRX, Oscillator)]]="RX", Table1[[#This Row],[Type (TX, RX, TRX, Oscillator)]]="RX FE"),C16,#N/A)</f>
        <v>#N/A</v>
      </c>
      <c r="F16" s="1">
        <f>IF(OR(Table1[[#This Row],[Type (TX, RX, TRX, Oscillator)]]="TRX", Table1[[#This Row],[Type (TX, RX, TRX, Oscillator)]]="TRX FE"),C16,#N/A)</f>
        <v>1.4633181472256811</v>
      </c>
      <c r="G16" s="1" t="e">
        <f>IF(Table1[[#This Row],[Type (TX, RX, TRX, Oscillator)]]="Oscillator",C16,#N/A)</f>
        <v>#N/A</v>
      </c>
      <c r="H16" s="1" t="e">
        <f>IF(Table1[[#This Row],[Type (TX, RX, TRX, Oscillator)]]="Relay",C16,#N/A)</f>
        <v>#N/A</v>
      </c>
      <c r="I16" s="1">
        <f>IF(ISNUMBER(Table1[[#This Row],[Array Aperture Area / Element (mm2)]]),SQRT(Table1[[#This Row],[Array Aperture Area / Element (mm2)]]),#N/A)</f>
        <v>1.8</v>
      </c>
      <c r="J16" s="1" t="e">
        <f>IF(OR(Table1[[#This Row],[Type (TX, RX, TRX, Oscillator)]]="TX",Table1[[#This Row],[Type (TX, RX, TRX, Oscillator)]]="TX FE"),I16,#N/A)</f>
        <v>#N/A</v>
      </c>
      <c r="K16" s="1" t="e">
        <f>IF(OR(Table1[[#This Row],[Type (TX, RX, TRX, Oscillator)]]="RX",Table1[[#This Row],[Type (TX, RX, TRX, Oscillator)]]="RX FE"),I16,#N/A)</f>
        <v>#N/A</v>
      </c>
      <c r="L16" s="1">
        <f>IF(OR(Table1[[#This Row],[Type (TX, RX, TRX, Oscillator)]]="TRX", Table1[[#This Row],[Type (TX, RX, TRX, Oscillator)]]="TRX FE"),I16,#N/A)</f>
        <v>1.8</v>
      </c>
      <c r="M16" s="1" t="e">
        <f>IF(Table1[[#This Row],[Type (TX, RX, TRX, Oscillator)]]="Oscillator",I16,#N/A)</f>
        <v>#N/A</v>
      </c>
      <c r="N16" s="1" t="e">
        <f>IF(Table1[[#This Row],[Type (TX, RX, TRX, Oscillator)]]="Relay",I16,#N/A)</f>
        <v>#N/A</v>
      </c>
    </row>
    <row r="17" spans="1:14" x14ac:dyDescent="0.2">
      <c r="A17" s="1">
        <f>Table1[[#This Row],[Frequency (GHz)]]</f>
        <v>85</v>
      </c>
      <c r="B17" s="1">
        <f t="shared" si="0"/>
        <v>1.7647058823529413</v>
      </c>
      <c r="C17" s="1">
        <f>IF(ISNUMBER(Table1[[#This Row],[Chip Core Area / Element (mm2)]]),SQRT(Table1[[#This Row],[Chip Core Area / Element (mm2)]]),#N/A)</f>
        <v>1.4633181472256811</v>
      </c>
      <c r="D17" s="1" t="e">
        <f>IF(OR(Table1[[#This Row],[Type (TX, RX, TRX, Oscillator)]]="TX", Table1[[#This Row],[Type (TX, RX, TRX, Oscillator)]]="TX FE"),C17,#N/A)</f>
        <v>#N/A</v>
      </c>
      <c r="E17" s="1" t="e">
        <f>IF(OR(Table1[[#This Row],[Type (TX, RX, TRX, Oscillator)]]="RX", Table1[[#This Row],[Type (TX, RX, TRX, Oscillator)]]="RX FE"),C17,#N/A)</f>
        <v>#N/A</v>
      </c>
      <c r="F17" s="1">
        <f>IF(OR(Table1[[#This Row],[Type (TX, RX, TRX, Oscillator)]]="TRX", Table1[[#This Row],[Type (TX, RX, TRX, Oscillator)]]="TRX FE"),C17,#N/A)</f>
        <v>1.4633181472256811</v>
      </c>
      <c r="G17" s="1" t="e">
        <f>IF(Table1[[#This Row],[Type (TX, RX, TRX, Oscillator)]]="Oscillator",C17,#N/A)</f>
        <v>#N/A</v>
      </c>
      <c r="H17" s="1" t="e">
        <f>IF(Table1[[#This Row],[Type (TX, RX, TRX, Oscillator)]]="Relay",C17,#N/A)</f>
        <v>#N/A</v>
      </c>
      <c r="I17" s="1">
        <f>IF(ISNUMBER(Table1[[#This Row],[Array Aperture Area / Element (mm2)]]),SQRT(Table1[[#This Row],[Array Aperture Area / Element (mm2)]]),#N/A)</f>
        <v>1.8</v>
      </c>
      <c r="J17" s="1" t="e">
        <f>IF(OR(Table1[[#This Row],[Type (TX, RX, TRX, Oscillator)]]="TX",Table1[[#This Row],[Type (TX, RX, TRX, Oscillator)]]="TX FE"),I17,#N/A)</f>
        <v>#N/A</v>
      </c>
      <c r="K17" s="1" t="e">
        <f>IF(OR(Table1[[#This Row],[Type (TX, RX, TRX, Oscillator)]]="RX",Table1[[#This Row],[Type (TX, RX, TRX, Oscillator)]]="RX FE"),I17,#N/A)</f>
        <v>#N/A</v>
      </c>
      <c r="L17" s="1">
        <f>IF(OR(Table1[[#This Row],[Type (TX, RX, TRX, Oscillator)]]="TRX", Table1[[#This Row],[Type (TX, RX, TRX, Oscillator)]]="TRX FE"),I17,#N/A)</f>
        <v>1.8</v>
      </c>
      <c r="M17" s="1" t="e">
        <f>IF(Table1[[#This Row],[Type (TX, RX, TRX, Oscillator)]]="Oscillator",I17,#N/A)</f>
        <v>#N/A</v>
      </c>
      <c r="N17" s="1" t="e">
        <f>IF(Table1[[#This Row],[Type (TX, RX, TRX, Oscillator)]]="Relay",I17,#N/A)</f>
        <v>#N/A</v>
      </c>
    </row>
    <row r="18" spans="1:14" x14ac:dyDescent="0.2">
      <c r="A18" s="1">
        <f>Table1[[#This Row],[Frequency (GHz)]]</f>
        <v>45</v>
      </c>
      <c r="B18" s="1">
        <f t="shared" si="0"/>
        <v>3.3333333333333335</v>
      </c>
      <c r="C18" s="1" t="e">
        <f>IF(ISNUMBER(Table1[[#This Row],[Chip Core Area / Element (mm2)]]),SQRT(Table1[[#This Row],[Chip Core Area / Element (mm2)]]),#N/A)</f>
        <v>#N/A</v>
      </c>
      <c r="D18" s="1" t="e">
        <f>IF(OR(Table1[[#This Row],[Type (TX, RX, TRX, Oscillator)]]="TX", Table1[[#This Row],[Type (TX, RX, TRX, Oscillator)]]="TX FE"),C18,#N/A)</f>
        <v>#N/A</v>
      </c>
      <c r="E18" s="1" t="e">
        <f>IF(OR(Table1[[#This Row],[Type (TX, RX, TRX, Oscillator)]]="RX", Table1[[#This Row],[Type (TX, RX, TRX, Oscillator)]]="RX FE"),C18,#N/A)</f>
        <v>#N/A</v>
      </c>
      <c r="F18" s="1" t="e">
        <f>IF(OR(Table1[[#This Row],[Type (TX, RX, TRX, Oscillator)]]="TRX", Table1[[#This Row],[Type (TX, RX, TRX, Oscillator)]]="TRX FE"),C18,#N/A)</f>
        <v>#N/A</v>
      </c>
      <c r="G18" s="1" t="e">
        <f>IF(Table1[[#This Row],[Type (TX, RX, TRX, Oscillator)]]="Oscillator",C18,#N/A)</f>
        <v>#N/A</v>
      </c>
      <c r="H18" s="1" t="e">
        <f>IF(Table1[[#This Row],[Type (TX, RX, TRX, Oscillator)]]="Relay",C18,#N/A)</f>
        <v>#N/A</v>
      </c>
      <c r="I18" s="1">
        <f>IF(ISNUMBER(Table1[[#This Row],[Array Aperture Area / Element (mm2)]]),SQRT(Table1[[#This Row],[Array Aperture Area / Element (mm2)]]),#N/A)</f>
        <v>2.9166666666666665</v>
      </c>
      <c r="J18" s="1" t="e">
        <f>IF(OR(Table1[[#This Row],[Type (TX, RX, TRX, Oscillator)]]="TX",Table1[[#This Row],[Type (TX, RX, TRX, Oscillator)]]="TX FE"),I18,#N/A)</f>
        <v>#N/A</v>
      </c>
      <c r="K18" s="1" t="e">
        <f>IF(OR(Table1[[#This Row],[Type (TX, RX, TRX, Oscillator)]]="RX",Table1[[#This Row],[Type (TX, RX, TRX, Oscillator)]]="RX FE"),I18,#N/A)</f>
        <v>#N/A</v>
      </c>
      <c r="L18" s="1" t="e">
        <f>IF(OR(Table1[[#This Row],[Type (TX, RX, TRX, Oscillator)]]="TRX", Table1[[#This Row],[Type (TX, RX, TRX, Oscillator)]]="TRX FE"),I18,#N/A)</f>
        <v>#N/A</v>
      </c>
      <c r="M18" s="1" t="e">
        <f>IF(Table1[[#This Row],[Type (TX, RX, TRX, Oscillator)]]="Oscillator",I18,#N/A)</f>
        <v>#N/A</v>
      </c>
      <c r="N18" s="1">
        <f>IF(Table1[[#This Row],[Type (TX, RX, TRX, Oscillator)]]="Relay",I18,#N/A)</f>
        <v>2.9166666666666665</v>
      </c>
    </row>
    <row r="19" spans="1:14" x14ac:dyDescent="0.2">
      <c r="A19" s="1">
        <f>Table1[[#This Row],[Frequency (GHz)]]</f>
        <v>390</v>
      </c>
      <c r="B19" s="1">
        <f t="shared" si="0"/>
        <v>0.38461538461538464</v>
      </c>
      <c r="C19" s="1">
        <f>IF(ISNUMBER(Table1[[#This Row],[Chip Core Area / Element (mm2)]]),SQRT(Table1[[#This Row],[Chip Core Area / Element (mm2)]]),#N/A)</f>
        <v>1.4747881203752624</v>
      </c>
      <c r="D19" s="1">
        <f>IF(OR(Table1[[#This Row],[Type (TX, RX, TRX, Oscillator)]]="TX", Table1[[#This Row],[Type (TX, RX, TRX, Oscillator)]]="TX FE"),C19,#N/A)</f>
        <v>1.4747881203752624</v>
      </c>
      <c r="E19" s="1" t="e">
        <f>IF(OR(Table1[[#This Row],[Type (TX, RX, TRX, Oscillator)]]="RX", Table1[[#This Row],[Type (TX, RX, TRX, Oscillator)]]="RX FE"),C19,#N/A)</f>
        <v>#N/A</v>
      </c>
      <c r="F19" s="1" t="e">
        <f>IF(OR(Table1[[#This Row],[Type (TX, RX, TRX, Oscillator)]]="TRX", Table1[[#This Row],[Type (TX, RX, TRX, Oscillator)]]="TRX FE"),C19,#N/A)</f>
        <v>#N/A</v>
      </c>
      <c r="G19" s="1" t="e">
        <f>IF(Table1[[#This Row],[Type (TX, RX, TRX, Oscillator)]]="Oscillator",C19,#N/A)</f>
        <v>#N/A</v>
      </c>
      <c r="H19" s="1" t="e">
        <f>IF(Table1[[#This Row],[Type (TX, RX, TRX, Oscillator)]]="Relay",C19,#N/A)</f>
        <v>#N/A</v>
      </c>
      <c r="I19" s="1">
        <f>IF(ISNUMBER(Table1[[#This Row],[Array Aperture Area / Element (mm2)]]),SQRT(Table1[[#This Row],[Array Aperture Area / Element (mm2)]]),#N/A)</f>
        <v>1.0428326807307104</v>
      </c>
      <c r="J19" s="1">
        <f>IF(OR(Table1[[#This Row],[Type (TX, RX, TRX, Oscillator)]]="TX",Table1[[#This Row],[Type (TX, RX, TRX, Oscillator)]]="TX FE"),I19,#N/A)</f>
        <v>1.0428326807307104</v>
      </c>
      <c r="K19" s="1" t="e">
        <f>IF(OR(Table1[[#This Row],[Type (TX, RX, TRX, Oscillator)]]="RX",Table1[[#This Row],[Type (TX, RX, TRX, Oscillator)]]="RX FE"),I19,#N/A)</f>
        <v>#N/A</v>
      </c>
      <c r="L19" s="1" t="e">
        <f>IF(OR(Table1[[#This Row],[Type (TX, RX, TRX, Oscillator)]]="TRX", Table1[[#This Row],[Type (TX, RX, TRX, Oscillator)]]="TRX FE"),I19,#N/A)</f>
        <v>#N/A</v>
      </c>
      <c r="M19" s="1" t="e">
        <f>IF(Table1[[#This Row],[Type (TX, RX, TRX, Oscillator)]]="Oscillator",I19,#N/A)</f>
        <v>#N/A</v>
      </c>
      <c r="N19" s="1" t="e">
        <f>IF(Table1[[#This Row],[Type (TX, RX, TRX, Oscillator)]]="Relay",I19,#N/A)</f>
        <v>#N/A</v>
      </c>
    </row>
    <row r="20" spans="1:14" x14ac:dyDescent="0.2">
      <c r="A20" s="1">
        <f>Table1[[#This Row],[Frequency (GHz)]]</f>
        <v>60</v>
      </c>
      <c r="B20" s="1">
        <f t="shared" si="0"/>
        <v>2.5</v>
      </c>
      <c r="C20" s="1">
        <f>IF(ISNUMBER(Table1[[#This Row],[Chip Core Area / Element (mm2)]]),SQRT(Table1[[#This Row],[Chip Core Area / Element (mm2)]]),#N/A)</f>
        <v>3.5355339059327378</v>
      </c>
      <c r="D20" s="1">
        <f>IF(OR(Table1[[#This Row],[Type (TX, RX, TRX, Oscillator)]]="TX", Table1[[#This Row],[Type (TX, RX, TRX, Oscillator)]]="TX FE"),C20,#N/A)</f>
        <v>3.5355339059327378</v>
      </c>
      <c r="E20" s="1" t="e">
        <f>IF(OR(Table1[[#This Row],[Type (TX, RX, TRX, Oscillator)]]="RX", Table1[[#This Row],[Type (TX, RX, TRX, Oscillator)]]="RX FE"),C20,#N/A)</f>
        <v>#N/A</v>
      </c>
      <c r="F20" s="1" t="e">
        <f>IF(OR(Table1[[#This Row],[Type (TX, RX, TRX, Oscillator)]]="TRX", Table1[[#This Row],[Type (TX, RX, TRX, Oscillator)]]="TRX FE"),C20,#N/A)</f>
        <v>#N/A</v>
      </c>
      <c r="G20" s="1" t="e">
        <f>IF(Table1[[#This Row],[Type (TX, RX, TRX, Oscillator)]]="Oscillator",C20,#N/A)</f>
        <v>#N/A</v>
      </c>
      <c r="H20" s="1" t="e">
        <f>IF(Table1[[#This Row],[Type (TX, RX, TRX, Oscillator)]]="Relay",C20,#N/A)</f>
        <v>#N/A</v>
      </c>
      <c r="I20" s="1">
        <f>IF(ISNUMBER(Table1[[#This Row],[Array Aperture Area / Element (mm2)]]),SQRT(Table1[[#This Row],[Array Aperture Area / Element (mm2)]]),#N/A)</f>
        <v>2.712240771023104</v>
      </c>
      <c r="J20" s="1">
        <f>IF(OR(Table1[[#This Row],[Type (TX, RX, TRX, Oscillator)]]="TX",Table1[[#This Row],[Type (TX, RX, TRX, Oscillator)]]="TX FE"),I20,#N/A)</f>
        <v>2.712240771023104</v>
      </c>
      <c r="K20" s="1" t="e">
        <f>IF(OR(Table1[[#This Row],[Type (TX, RX, TRX, Oscillator)]]="RX",Table1[[#This Row],[Type (TX, RX, TRX, Oscillator)]]="RX FE"),I20,#N/A)</f>
        <v>#N/A</v>
      </c>
      <c r="L20" s="1" t="e">
        <f>IF(OR(Table1[[#This Row],[Type (TX, RX, TRX, Oscillator)]]="TRX", Table1[[#This Row],[Type (TX, RX, TRX, Oscillator)]]="TRX FE"),I20,#N/A)</f>
        <v>#N/A</v>
      </c>
      <c r="M20" s="1" t="e">
        <f>IF(Table1[[#This Row],[Type (TX, RX, TRX, Oscillator)]]="Oscillator",I20,#N/A)</f>
        <v>#N/A</v>
      </c>
      <c r="N20" s="1" t="e">
        <f>IF(Table1[[#This Row],[Type (TX, RX, TRX, Oscillator)]]="Relay",I20,#N/A)</f>
        <v>#N/A</v>
      </c>
    </row>
    <row r="21" spans="1:14" x14ac:dyDescent="0.2">
      <c r="A21" s="1">
        <f>Table1[[#This Row],[Frequency (GHz)]]</f>
        <v>60</v>
      </c>
      <c r="B21" s="1">
        <f t="shared" si="0"/>
        <v>2.5</v>
      </c>
      <c r="C21" s="1">
        <f>IF(ISNUMBER(Table1[[#This Row],[Chip Core Area / Element (mm2)]]),SQRT(Table1[[#This Row],[Chip Core Area / Element (mm2)]]),#N/A)</f>
        <v>3.5355339059327378</v>
      </c>
      <c r="D21" s="1">
        <f>IF(OR(Table1[[#This Row],[Type (TX, RX, TRX, Oscillator)]]="TX", Table1[[#This Row],[Type (TX, RX, TRX, Oscillator)]]="TX FE"),C21,#N/A)</f>
        <v>3.5355339059327378</v>
      </c>
      <c r="E21" s="1" t="e">
        <f>IF(OR(Table1[[#This Row],[Type (TX, RX, TRX, Oscillator)]]="RX", Table1[[#This Row],[Type (TX, RX, TRX, Oscillator)]]="RX FE"),C21,#N/A)</f>
        <v>#N/A</v>
      </c>
      <c r="F21" s="1" t="e">
        <f>IF(OR(Table1[[#This Row],[Type (TX, RX, TRX, Oscillator)]]="TRX", Table1[[#This Row],[Type (TX, RX, TRX, Oscillator)]]="TRX FE"),C21,#N/A)</f>
        <v>#N/A</v>
      </c>
      <c r="G21" s="1" t="e">
        <f>IF(Table1[[#This Row],[Type (TX, RX, TRX, Oscillator)]]="Oscillator",C21,#N/A)</f>
        <v>#N/A</v>
      </c>
      <c r="H21" s="1" t="e">
        <f>IF(Table1[[#This Row],[Type (TX, RX, TRX, Oscillator)]]="Relay",C21,#N/A)</f>
        <v>#N/A</v>
      </c>
      <c r="I21" s="1">
        <f>IF(ISNUMBER(Table1[[#This Row],[Array Aperture Area / Element (mm2)]]),SQRT(Table1[[#This Row],[Array Aperture Area / Element (mm2)]]),#N/A)</f>
        <v>2.6061825530841078</v>
      </c>
      <c r="J21" s="1">
        <f>IF(OR(Table1[[#This Row],[Type (TX, RX, TRX, Oscillator)]]="TX",Table1[[#This Row],[Type (TX, RX, TRX, Oscillator)]]="TX FE"),I21,#N/A)</f>
        <v>2.6061825530841078</v>
      </c>
      <c r="K21" s="1" t="e">
        <f>IF(OR(Table1[[#This Row],[Type (TX, RX, TRX, Oscillator)]]="RX",Table1[[#This Row],[Type (TX, RX, TRX, Oscillator)]]="RX FE"),I21,#N/A)</f>
        <v>#N/A</v>
      </c>
      <c r="L21" s="1" t="e">
        <f>IF(OR(Table1[[#This Row],[Type (TX, RX, TRX, Oscillator)]]="TRX", Table1[[#This Row],[Type (TX, RX, TRX, Oscillator)]]="TRX FE"),I21,#N/A)</f>
        <v>#N/A</v>
      </c>
      <c r="M21" s="1" t="e">
        <f>IF(Table1[[#This Row],[Type (TX, RX, TRX, Oscillator)]]="Oscillator",I21,#N/A)</f>
        <v>#N/A</v>
      </c>
      <c r="N21" s="1" t="e">
        <f>IF(Table1[[#This Row],[Type (TX, RX, TRX, Oscillator)]]="Relay",I21,#N/A)</f>
        <v>#N/A</v>
      </c>
    </row>
    <row r="22" spans="1:14" x14ac:dyDescent="0.2">
      <c r="A22" s="1">
        <f>Table1[[#This Row],[Frequency (GHz)]]</f>
        <v>28</v>
      </c>
      <c r="B22" s="1">
        <f t="shared" si="0"/>
        <v>5.3571428571428568</v>
      </c>
      <c r="C22" s="1">
        <f>IF(ISNUMBER(Table1[[#This Row],[Chip Core Area / Element (mm2)]]),SQRT(Table1[[#This Row],[Chip Core Area / Element (mm2)]]),#N/A)</f>
        <v>3.0960478839966288</v>
      </c>
      <c r="D22" s="1" t="e">
        <f>IF(OR(Table1[[#This Row],[Type (TX, RX, TRX, Oscillator)]]="TX", Table1[[#This Row],[Type (TX, RX, TRX, Oscillator)]]="TX FE"),C22,#N/A)</f>
        <v>#N/A</v>
      </c>
      <c r="E22" s="1" t="e">
        <f>IF(OR(Table1[[#This Row],[Type (TX, RX, TRX, Oscillator)]]="RX", Table1[[#This Row],[Type (TX, RX, TRX, Oscillator)]]="RX FE"),C22,#N/A)</f>
        <v>#N/A</v>
      </c>
      <c r="F22" s="1">
        <f>IF(OR(Table1[[#This Row],[Type (TX, RX, TRX, Oscillator)]]="TRX", Table1[[#This Row],[Type (TX, RX, TRX, Oscillator)]]="TRX FE"),C22,#N/A)</f>
        <v>3.0960478839966288</v>
      </c>
      <c r="G22" s="1" t="e">
        <f>IF(Table1[[#This Row],[Type (TX, RX, TRX, Oscillator)]]="Oscillator",C22,#N/A)</f>
        <v>#N/A</v>
      </c>
      <c r="H22" s="1" t="e">
        <f>IF(Table1[[#This Row],[Type (TX, RX, TRX, Oscillator)]]="Relay",C22,#N/A)</f>
        <v>#N/A</v>
      </c>
      <c r="I22" s="1" t="e">
        <f>IF(ISNUMBER(Table1[[#This Row],[Array Aperture Area / Element (mm2)]]),SQRT(Table1[[#This Row],[Array Aperture Area / Element (mm2)]]),#N/A)</f>
        <v>#N/A</v>
      </c>
      <c r="J22" s="1" t="e">
        <f>IF(OR(Table1[[#This Row],[Type (TX, RX, TRX, Oscillator)]]="TX",Table1[[#This Row],[Type (TX, RX, TRX, Oscillator)]]="TX FE"),I22,#N/A)</f>
        <v>#N/A</v>
      </c>
      <c r="K22" s="1" t="e">
        <f>IF(OR(Table1[[#This Row],[Type (TX, RX, TRX, Oscillator)]]="RX",Table1[[#This Row],[Type (TX, RX, TRX, Oscillator)]]="RX FE"),I22,#N/A)</f>
        <v>#N/A</v>
      </c>
      <c r="L22" s="1" t="e">
        <f>IF(OR(Table1[[#This Row],[Type (TX, RX, TRX, Oscillator)]]="TRX", Table1[[#This Row],[Type (TX, RX, TRX, Oscillator)]]="TRX FE"),I22,#N/A)</f>
        <v>#N/A</v>
      </c>
      <c r="M22" s="1" t="e">
        <f>IF(Table1[[#This Row],[Type (TX, RX, TRX, Oscillator)]]="Oscillator",I22,#N/A)</f>
        <v>#N/A</v>
      </c>
      <c r="N22" s="1" t="e">
        <f>IF(Table1[[#This Row],[Type (TX, RX, TRX, Oscillator)]]="Relay",I22,#N/A)</f>
        <v>#N/A</v>
      </c>
    </row>
    <row r="23" spans="1:14" x14ac:dyDescent="0.2">
      <c r="A23" s="1">
        <f>Table1[[#This Row],[Frequency (GHz)]]</f>
        <v>290</v>
      </c>
      <c r="B23" s="1">
        <f t="shared" si="0"/>
        <v>0.51724137931034486</v>
      </c>
      <c r="C23" s="1">
        <f>IF(ISNUMBER(Table1[[#This Row],[Chip Core Area / Element (mm2)]]),SQRT(Table1[[#This Row],[Chip Core Area / Element (mm2)]]),#N/A)</f>
        <v>1.4535473848485299</v>
      </c>
      <c r="D23" s="1">
        <f>IF(OR(Table1[[#This Row],[Type (TX, RX, TRX, Oscillator)]]="TX", Table1[[#This Row],[Type (TX, RX, TRX, Oscillator)]]="TX FE"),C23,#N/A)</f>
        <v>1.4535473848485299</v>
      </c>
      <c r="E23" s="1" t="e">
        <f>IF(OR(Table1[[#This Row],[Type (TX, RX, TRX, Oscillator)]]="RX", Table1[[#This Row],[Type (TX, RX, TRX, Oscillator)]]="RX FE"),C23,#N/A)</f>
        <v>#N/A</v>
      </c>
      <c r="F23" s="1" t="e">
        <f>IF(OR(Table1[[#This Row],[Type (TX, RX, TRX, Oscillator)]]="TRX", Table1[[#This Row],[Type (TX, RX, TRX, Oscillator)]]="TRX FE"),C23,#N/A)</f>
        <v>#N/A</v>
      </c>
      <c r="G23" s="1" t="e">
        <f>IF(Table1[[#This Row],[Type (TX, RX, TRX, Oscillator)]]="Oscillator",C23,#N/A)</f>
        <v>#N/A</v>
      </c>
      <c r="H23" s="1" t="e">
        <f>IF(Table1[[#This Row],[Type (TX, RX, TRX, Oscillator)]]="Relay",C23,#N/A)</f>
        <v>#N/A</v>
      </c>
      <c r="I23" s="1" t="e">
        <f>IF(ISNUMBER(Table1[[#This Row],[Array Aperture Area / Element (mm2)]]),SQRT(Table1[[#This Row],[Array Aperture Area / Element (mm2)]]),#N/A)</f>
        <v>#N/A</v>
      </c>
      <c r="J23" s="1" t="e">
        <f>IF(OR(Table1[[#This Row],[Type (TX, RX, TRX, Oscillator)]]="TX",Table1[[#This Row],[Type (TX, RX, TRX, Oscillator)]]="TX FE"),I23,#N/A)</f>
        <v>#N/A</v>
      </c>
      <c r="K23" s="1" t="e">
        <f>IF(OR(Table1[[#This Row],[Type (TX, RX, TRX, Oscillator)]]="RX",Table1[[#This Row],[Type (TX, RX, TRX, Oscillator)]]="RX FE"),I23,#N/A)</f>
        <v>#N/A</v>
      </c>
      <c r="L23" s="1" t="e">
        <f>IF(OR(Table1[[#This Row],[Type (TX, RX, TRX, Oscillator)]]="TRX", Table1[[#This Row],[Type (TX, RX, TRX, Oscillator)]]="TRX FE"),I23,#N/A)</f>
        <v>#N/A</v>
      </c>
      <c r="M23" s="1" t="e">
        <f>IF(Table1[[#This Row],[Type (TX, RX, TRX, Oscillator)]]="Oscillator",I23,#N/A)</f>
        <v>#N/A</v>
      </c>
      <c r="N23" s="1" t="e">
        <f>IF(Table1[[#This Row],[Type (TX, RX, TRX, Oscillator)]]="Relay",I23,#N/A)</f>
        <v>#N/A</v>
      </c>
    </row>
    <row r="24" spans="1:14" x14ac:dyDescent="0.2">
      <c r="A24" s="1">
        <f>Table1[[#This Row],[Frequency (GHz)]]</f>
        <v>290</v>
      </c>
      <c r="B24" s="1">
        <f t="shared" si="0"/>
        <v>0.51724137931034486</v>
      </c>
      <c r="C24" s="1">
        <f>IF(ISNUMBER(Table1[[#This Row],[Chip Core Area / Element (mm2)]]),SQRT(Table1[[#This Row],[Chip Core Area / Element (mm2)]]),#N/A)</f>
        <v>0.78930349042684467</v>
      </c>
      <c r="D24" s="1" t="e">
        <f>IF(OR(Table1[[#This Row],[Type (TX, RX, TRX, Oscillator)]]="TX", Table1[[#This Row],[Type (TX, RX, TRX, Oscillator)]]="TX FE"),C24,#N/A)</f>
        <v>#N/A</v>
      </c>
      <c r="E24" s="1">
        <f>IF(OR(Table1[[#This Row],[Type (TX, RX, TRX, Oscillator)]]="RX", Table1[[#This Row],[Type (TX, RX, TRX, Oscillator)]]="RX FE"),C24,#N/A)</f>
        <v>0.78930349042684467</v>
      </c>
      <c r="F24" s="1" t="e">
        <f>IF(OR(Table1[[#This Row],[Type (TX, RX, TRX, Oscillator)]]="TRX", Table1[[#This Row],[Type (TX, RX, TRX, Oscillator)]]="TRX FE"),C24,#N/A)</f>
        <v>#N/A</v>
      </c>
      <c r="G24" s="1" t="e">
        <f>IF(Table1[[#This Row],[Type (TX, RX, TRX, Oscillator)]]="Oscillator",C24,#N/A)</f>
        <v>#N/A</v>
      </c>
      <c r="H24" s="1" t="e">
        <f>IF(Table1[[#This Row],[Type (TX, RX, TRX, Oscillator)]]="Relay",C24,#N/A)</f>
        <v>#N/A</v>
      </c>
      <c r="I24" s="1" t="e">
        <f>IF(ISNUMBER(Table1[[#This Row],[Array Aperture Area / Element (mm2)]]),SQRT(Table1[[#This Row],[Array Aperture Area / Element (mm2)]]),#N/A)</f>
        <v>#N/A</v>
      </c>
      <c r="J24" s="1" t="e">
        <f>IF(OR(Table1[[#This Row],[Type (TX, RX, TRX, Oscillator)]]="TX",Table1[[#This Row],[Type (TX, RX, TRX, Oscillator)]]="TX FE"),I24,#N/A)</f>
        <v>#N/A</v>
      </c>
      <c r="K24" s="1" t="e">
        <f>IF(OR(Table1[[#This Row],[Type (TX, RX, TRX, Oscillator)]]="RX",Table1[[#This Row],[Type (TX, RX, TRX, Oscillator)]]="RX FE"),I24,#N/A)</f>
        <v>#N/A</v>
      </c>
      <c r="L24" s="1" t="e">
        <f>IF(OR(Table1[[#This Row],[Type (TX, RX, TRX, Oscillator)]]="TRX", Table1[[#This Row],[Type (TX, RX, TRX, Oscillator)]]="TRX FE"),I24,#N/A)</f>
        <v>#N/A</v>
      </c>
      <c r="M24" s="1" t="e">
        <f>IF(Table1[[#This Row],[Type (TX, RX, TRX, Oscillator)]]="Oscillator",I24,#N/A)</f>
        <v>#N/A</v>
      </c>
      <c r="N24" s="1" t="e">
        <f>IF(Table1[[#This Row],[Type (TX, RX, TRX, Oscillator)]]="Relay",I24,#N/A)</f>
        <v>#N/A</v>
      </c>
    </row>
    <row r="25" spans="1:14" x14ac:dyDescent="0.2">
      <c r="A25" s="1">
        <f>Table1[[#This Row],[Frequency (GHz)]]</f>
        <v>320</v>
      </c>
      <c r="B25" s="1">
        <f t="shared" si="0"/>
        <v>0.46875</v>
      </c>
      <c r="C25" s="1">
        <f>IF(ISNUMBER(Table1[[#This Row],[Chip Core Area / Element (mm2)]]),SQRT(Table1[[#This Row],[Chip Core Area / Element (mm2)]]),#N/A)</f>
        <v>0.64156059729381754</v>
      </c>
      <c r="D25" s="1" t="e">
        <f>IF(OR(Table1[[#This Row],[Type (TX, RX, TRX, Oscillator)]]="TX", Table1[[#This Row],[Type (TX, RX, TRX, Oscillator)]]="TX FE"),C25,#N/A)</f>
        <v>#N/A</v>
      </c>
      <c r="E25" s="1" t="e">
        <f>IF(OR(Table1[[#This Row],[Type (TX, RX, TRX, Oscillator)]]="RX", Table1[[#This Row],[Type (TX, RX, TRX, Oscillator)]]="RX FE"),C25,#N/A)</f>
        <v>#N/A</v>
      </c>
      <c r="F25" s="1" t="e">
        <f>IF(OR(Table1[[#This Row],[Type (TX, RX, TRX, Oscillator)]]="TRX", Table1[[#This Row],[Type (TX, RX, TRX, Oscillator)]]="TRX FE"),C25,#N/A)</f>
        <v>#N/A</v>
      </c>
      <c r="G25" s="1">
        <f>IF(Table1[[#This Row],[Type (TX, RX, TRX, Oscillator)]]="Oscillator",C25,#N/A)</f>
        <v>0.64156059729381754</v>
      </c>
      <c r="H25" s="1" t="e">
        <f>IF(Table1[[#This Row],[Type (TX, RX, TRX, Oscillator)]]="Relay",C25,#N/A)</f>
        <v>#N/A</v>
      </c>
      <c r="I25" s="1" t="e">
        <f>IF(ISNUMBER(Table1[[#This Row],[Array Aperture Area / Element (mm2)]]),SQRT(Table1[[#This Row],[Array Aperture Area / Element (mm2)]]),#N/A)</f>
        <v>#N/A</v>
      </c>
      <c r="J25" s="1" t="e">
        <f>IF(OR(Table1[[#This Row],[Type (TX, RX, TRX, Oscillator)]]="TX",Table1[[#This Row],[Type (TX, RX, TRX, Oscillator)]]="TX FE"),I25,#N/A)</f>
        <v>#N/A</v>
      </c>
      <c r="K25" s="1" t="e">
        <f>IF(OR(Table1[[#This Row],[Type (TX, RX, TRX, Oscillator)]]="RX",Table1[[#This Row],[Type (TX, RX, TRX, Oscillator)]]="RX FE"),I25,#N/A)</f>
        <v>#N/A</v>
      </c>
      <c r="L25" s="1" t="e">
        <f>IF(OR(Table1[[#This Row],[Type (TX, RX, TRX, Oscillator)]]="TRX", Table1[[#This Row],[Type (TX, RX, TRX, Oscillator)]]="TRX FE"),I25,#N/A)</f>
        <v>#N/A</v>
      </c>
      <c r="M25" s="1" t="e">
        <f>IF(Table1[[#This Row],[Type (TX, RX, TRX, Oscillator)]]="Oscillator",I25,#N/A)</f>
        <v>#N/A</v>
      </c>
      <c r="N25" s="1" t="e">
        <f>IF(Table1[[#This Row],[Type (TX, RX, TRX, Oscillator)]]="Relay",I25,#N/A)</f>
        <v>#N/A</v>
      </c>
    </row>
    <row r="26" spans="1:14" x14ac:dyDescent="0.2">
      <c r="A26" s="1">
        <f>Table1[[#This Row],[Frequency (GHz)]]</f>
        <v>70</v>
      </c>
      <c r="B26" s="1">
        <f t="shared" si="0"/>
        <v>2.1428571428571428</v>
      </c>
      <c r="C26" s="1">
        <f>IF(ISNUMBER(Table1[[#This Row],[Chip Core Area / Element (mm2)]]),SQRT(Table1[[#This Row],[Chip Core Area / Element (mm2)]]),#N/A)</f>
        <v>2.0892103771520953</v>
      </c>
      <c r="D26" s="1" t="e">
        <f>IF(OR(Table1[[#This Row],[Type (TX, RX, TRX, Oscillator)]]="TX", Table1[[#This Row],[Type (TX, RX, TRX, Oscillator)]]="TX FE"),C26,#N/A)</f>
        <v>#N/A</v>
      </c>
      <c r="E26" s="1" t="e">
        <f>IF(OR(Table1[[#This Row],[Type (TX, RX, TRX, Oscillator)]]="RX", Table1[[#This Row],[Type (TX, RX, TRX, Oscillator)]]="RX FE"),C26,#N/A)</f>
        <v>#N/A</v>
      </c>
      <c r="F26" s="1">
        <f>IF(OR(Table1[[#This Row],[Type (TX, RX, TRX, Oscillator)]]="TRX", Table1[[#This Row],[Type (TX, RX, TRX, Oscillator)]]="TRX FE"),C26,#N/A)</f>
        <v>2.0892103771520953</v>
      </c>
      <c r="G26" s="1" t="e">
        <f>IF(Table1[[#This Row],[Type (TX, RX, TRX, Oscillator)]]="Oscillator",C26,#N/A)</f>
        <v>#N/A</v>
      </c>
      <c r="H26" s="1" t="e">
        <f>IF(Table1[[#This Row],[Type (TX, RX, TRX, Oscillator)]]="Relay",C26,#N/A)</f>
        <v>#N/A</v>
      </c>
      <c r="I26" s="1" t="e">
        <f>IF(ISNUMBER(Table1[[#This Row],[Array Aperture Area / Element (mm2)]]),SQRT(Table1[[#This Row],[Array Aperture Area / Element (mm2)]]),#N/A)</f>
        <v>#N/A</v>
      </c>
      <c r="J26" s="1" t="e">
        <f>IF(OR(Table1[[#This Row],[Type (TX, RX, TRX, Oscillator)]]="TX",Table1[[#This Row],[Type (TX, RX, TRX, Oscillator)]]="TX FE"),I26,#N/A)</f>
        <v>#N/A</v>
      </c>
      <c r="K26" s="1" t="e">
        <f>IF(OR(Table1[[#This Row],[Type (TX, RX, TRX, Oscillator)]]="RX",Table1[[#This Row],[Type (TX, RX, TRX, Oscillator)]]="RX FE"),I26,#N/A)</f>
        <v>#N/A</v>
      </c>
      <c r="L26" s="1" t="e">
        <f>IF(OR(Table1[[#This Row],[Type (TX, RX, TRX, Oscillator)]]="TRX", Table1[[#This Row],[Type (TX, RX, TRX, Oscillator)]]="TRX FE"),I26,#N/A)</f>
        <v>#N/A</v>
      </c>
      <c r="M26" s="1" t="e">
        <f>IF(Table1[[#This Row],[Type (TX, RX, TRX, Oscillator)]]="Oscillator",I26,#N/A)</f>
        <v>#N/A</v>
      </c>
      <c r="N26" s="1" t="e">
        <f>IF(Table1[[#This Row],[Type (TX, RX, TRX, Oscillator)]]="Relay",I26,#N/A)</f>
        <v>#N/A</v>
      </c>
    </row>
    <row r="27" spans="1:14" x14ac:dyDescent="0.2">
      <c r="A27" s="1">
        <f>Table1[[#This Row],[Frequency (GHz)]]</f>
        <v>105</v>
      </c>
      <c r="B27" s="1">
        <f t="shared" si="0"/>
        <v>1.4285714285714286</v>
      </c>
      <c r="C27" s="1">
        <f>IF(ISNUMBER(Table1[[#This Row],[Chip Core Area / Element (mm2)]]),SQRT(Table1[[#This Row],[Chip Core Area / Element (mm2)]]),#N/A)</f>
        <v>2.0892103771520953</v>
      </c>
      <c r="D27" s="1" t="e">
        <f>IF(OR(Table1[[#This Row],[Type (TX, RX, TRX, Oscillator)]]="TX", Table1[[#This Row],[Type (TX, RX, TRX, Oscillator)]]="TX FE"),C27,#N/A)</f>
        <v>#N/A</v>
      </c>
      <c r="E27" s="1" t="e">
        <f>IF(OR(Table1[[#This Row],[Type (TX, RX, TRX, Oscillator)]]="RX", Table1[[#This Row],[Type (TX, RX, TRX, Oscillator)]]="RX FE"),C27,#N/A)</f>
        <v>#N/A</v>
      </c>
      <c r="F27" s="1">
        <f>IF(OR(Table1[[#This Row],[Type (TX, RX, TRX, Oscillator)]]="TRX", Table1[[#This Row],[Type (TX, RX, TRX, Oscillator)]]="TRX FE"),C27,#N/A)</f>
        <v>2.0892103771520953</v>
      </c>
      <c r="G27" s="1" t="e">
        <f>IF(Table1[[#This Row],[Type (TX, RX, TRX, Oscillator)]]="Oscillator",C27,#N/A)</f>
        <v>#N/A</v>
      </c>
      <c r="H27" s="1" t="e">
        <f>IF(Table1[[#This Row],[Type (TX, RX, TRX, Oscillator)]]="Relay",C27,#N/A)</f>
        <v>#N/A</v>
      </c>
      <c r="I27" s="1" t="e">
        <f>IF(ISNUMBER(Table1[[#This Row],[Array Aperture Area / Element (mm2)]]),SQRT(Table1[[#This Row],[Array Aperture Area / Element (mm2)]]),#N/A)</f>
        <v>#N/A</v>
      </c>
      <c r="J27" s="1" t="e">
        <f>IF(OR(Table1[[#This Row],[Type (TX, RX, TRX, Oscillator)]]="TX",Table1[[#This Row],[Type (TX, RX, TRX, Oscillator)]]="TX FE"),I27,#N/A)</f>
        <v>#N/A</v>
      </c>
      <c r="K27" s="1" t="e">
        <f>IF(OR(Table1[[#This Row],[Type (TX, RX, TRX, Oscillator)]]="RX",Table1[[#This Row],[Type (TX, RX, TRX, Oscillator)]]="RX FE"),I27,#N/A)</f>
        <v>#N/A</v>
      </c>
      <c r="L27" s="1" t="e">
        <f>IF(OR(Table1[[#This Row],[Type (TX, RX, TRX, Oscillator)]]="TRX", Table1[[#This Row],[Type (TX, RX, TRX, Oscillator)]]="TRX FE"),I27,#N/A)</f>
        <v>#N/A</v>
      </c>
      <c r="M27" s="1" t="e">
        <f>IF(Table1[[#This Row],[Type (TX, RX, TRX, Oscillator)]]="Oscillator",I27,#N/A)</f>
        <v>#N/A</v>
      </c>
      <c r="N27" s="1" t="e">
        <f>IF(Table1[[#This Row],[Type (TX, RX, TRX, Oscillator)]]="Relay",I27,#N/A)</f>
        <v>#N/A</v>
      </c>
    </row>
    <row r="28" spans="1:14" x14ac:dyDescent="0.2">
      <c r="A28" s="1">
        <f>Table1[[#This Row],[Frequency (GHz)]]</f>
        <v>23</v>
      </c>
      <c r="B28" s="1">
        <f t="shared" si="0"/>
        <v>6.5217391304347823</v>
      </c>
      <c r="C28" s="1">
        <f>IF(ISNUMBER(Table1[[#This Row],[Chip Core Area / Element (mm2)]]),SQRT(Table1[[#This Row],[Chip Core Area / Element (mm2)]]),#N/A)</f>
        <v>2.0734753434752968</v>
      </c>
      <c r="D28" s="1" t="e">
        <f>IF(OR(Table1[[#This Row],[Type (TX, RX, TRX, Oscillator)]]="TX", Table1[[#This Row],[Type (TX, RX, TRX, Oscillator)]]="TX FE"),C28,#N/A)</f>
        <v>#N/A</v>
      </c>
      <c r="E28" s="1">
        <f>IF(OR(Table1[[#This Row],[Type (TX, RX, TRX, Oscillator)]]="RX", Table1[[#This Row],[Type (TX, RX, TRX, Oscillator)]]="RX FE"),C28,#N/A)</f>
        <v>2.0734753434752968</v>
      </c>
      <c r="F28" s="1" t="e">
        <f>IF(OR(Table1[[#This Row],[Type (TX, RX, TRX, Oscillator)]]="TRX", Table1[[#This Row],[Type (TX, RX, TRX, Oscillator)]]="TRX FE"),C28,#N/A)</f>
        <v>#N/A</v>
      </c>
      <c r="G28" s="1" t="e">
        <f>IF(Table1[[#This Row],[Type (TX, RX, TRX, Oscillator)]]="Oscillator",C28,#N/A)</f>
        <v>#N/A</v>
      </c>
      <c r="H28" s="1" t="e">
        <f>IF(Table1[[#This Row],[Type (TX, RX, TRX, Oscillator)]]="Relay",C28,#N/A)</f>
        <v>#N/A</v>
      </c>
      <c r="I28" s="1" t="e">
        <f>IF(ISNUMBER(Table1[[#This Row],[Array Aperture Area / Element (mm2)]]),SQRT(Table1[[#This Row],[Array Aperture Area / Element (mm2)]]),#N/A)</f>
        <v>#N/A</v>
      </c>
      <c r="J28" s="1" t="e">
        <f>IF(OR(Table1[[#This Row],[Type (TX, RX, TRX, Oscillator)]]="TX",Table1[[#This Row],[Type (TX, RX, TRX, Oscillator)]]="TX FE"),I28,#N/A)</f>
        <v>#N/A</v>
      </c>
      <c r="K28" s="1" t="e">
        <f>IF(OR(Table1[[#This Row],[Type (TX, RX, TRX, Oscillator)]]="RX",Table1[[#This Row],[Type (TX, RX, TRX, Oscillator)]]="RX FE"),I28,#N/A)</f>
        <v>#N/A</v>
      </c>
      <c r="L28" s="1" t="e">
        <f>IF(OR(Table1[[#This Row],[Type (TX, RX, TRX, Oscillator)]]="TRX", Table1[[#This Row],[Type (TX, RX, TRX, Oscillator)]]="TRX FE"),I28,#N/A)</f>
        <v>#N/A</v>
      </c>
      <c r="M28" s="1" t="e">
        <f>IF(Table1[[#This Row],[Type (TX, RX, TRX, Oscillator)]]="Oscillator",I28,#N/A)</f>
        <v>#N/A</v>
      </c>
      <c r="N28" s="1" t="e">
        <f>IF(Table1[[#This Row],[Type (TX, RX, TRX, Oscillator)]]="Relay",I28,#N/A)</f>
        <v>#N/A</v>
      </c>
    </row>
    <row r="29" spans="1:14" x14ac:dyDescent="0.2">
      <c r="A29" s="1">
        <f>Table1[[#This Row],[Frequency (GHz)]]</f>
        <v>30</v>
      </c>
      <c r="B29" s="1">
        <f t="shared" si="0"/>
        <v>5</v>
      </c>
      <c r="C29" s="1">
        <f>IF(ISNUMBER(Table1[[#This Row],[Chip Core Area / Element (mm2)]]),SQRT(Table1[[#This Row],[Chip Core Area / Element (mm2)]]),#N/A)</f>
        <v>2.0734753434752968</v>
      </c>
      <c r="D29" s="1" t="e">
        <f>IF(OR(Table1[[#This Row],[Type (TX, RX, TRX, Oscillator)]]="TX", Table1[[#This Row],[Type (TX, RX, TRX, Oscillator)]]="TX FE"),C29,#N/A)</f>
        <v>#N/A</v>
      </c>
      <c r="E29" s="1">
        <f>IF(OR(Table1[[#This Row],[Type (TX, RX, TRX, Oscillator)]]="RX", Table1[[#This Row],[Type (TX, RX, TRX, Oscillator)]]="RX FE"),C29,#N/A)</f>
        <v>2.0734753434752968</v>
      </c>
      <c r="F29" s="1" t="e">
        <f>IF(OR(Table1[[#This Row],[Type (TX, RX, TRX, Oscillator)]]="TRX", Table1[[#This Row],[Type (TX, RX, TRX, Oscillator)]]="TRX FE"),C29,#N/A)</f>
        <v>#N/A</v>
      </c>
      <c r="G29" s="1" t="e">
        <f>IF(Table1[[#This Row],[Type (TX, RX, TRX, Oscillator)]]="Oscillator",C29,#N/A)</f>
        <v>#N/A</v>
      </c>
      <c r="H29" s="1" t="e">
        <f>IF(Table1[[#This Row],[Type (TX, RX, TRX, Oscillator)]]="Relay",C29,#N/A)</f>
        <v>#N/A</v>
      </c>
      <c r="I29" s="1" t="e">
        <f>IF(ISNUMBER(Table1[[#This Row],[Array Aperture Area / Element (mm2)]]),SQRT(Table1[[#This Row],[Array Aperture Area / Element (mm2)]]),#N/A)</f>
        <v>#N/A</v>
      </c>
      <c r="J29" s="1" t="e">
        <f>IF(OR(Table1[[#This Row],[Type (TX, RX, TRX, Oscillator)]]="TX",Table1[[#This Row],[Type (TX, RX, TRX, Oscillator)]]="TX FE"),I29,#N/A)</f>
        <v>#N/A</v>
      </c>
      <c r="K29" s="1" t="e">
        <f>IF(OR(Table1[[#This Row],[Type (TX, RX, TRX, Oscillator)]]="RX",Table1[[#This Row],[Type (TX, RX, TRX, Oscillator)]]="RX FE"),I29,#N/A)</f>
        <v>#N/A</v>
      </c>
      <c r="L29" s="1" t="e">
        <f>IF(OR(Table1[[#This Row],[Type (TX, RX, TRX, Oscillator)]]="TRX", Table1[[#This Row],[Type (TX, RX, TRX, Oscillator)]]="TRX FE"),I29,#N/A)</f>
        <v>#N/A</v>
      </c>
      <c r="M29" s="1" t="e">
        <f>IF(Table1[[#This Row],[Type (TX, RX, TRX, Oscillator)]]="Oscillator",I29,#N/A)</f>
        <v>#N/A</v>
      </c>
      <c r="N29" s="1" t="e">
        <f>IF(Table1[[#This Row],[Type (TX, RX, TRX, Oscillator)]]="Relay",I29,#N/A)</f>
        <v>#N/A</v>
      </c>
    </row>
    <row r="30" spans="1:14" x14ac:dyDescent="0.2">
      <c r="A30" s="1">
        <f>Table1[[#This Row],[Frequency (GHz)]]</f>
        <v>28</v>
      </c>
      <c r="B30" s="1">
        <f t="shared" si="0"/>
        <v>5.3571428571428568</v>
      </c>
      <c r="C30" s="1">
        <f>IF(ISNUMBER(Table1[[#This Row],[Chip Core Area / Element (mm2)]]),SQRT(Table1[[#This Row],[Chip Core Area / Element (mm2)]]),#N/A)</f>
        <v>1.5091719583930785</v>
      </c>
      <c r="D30" s="1" t="e">
        <f>IF(OR(Table1[[#This Row],[Type (TX, RX, TRX, Oscillator)]]="TX", Table1[[#This Row],[Type (TX, RX, TRX, Oscillator)]]="TX FE"),C30,#N/A)</f>
        <v>#N/A</v>
      </c>
      <c r="E30" s="1" t="e">
        <f>IF(OR(Table1[[#This Row],[Type (TX, RX, TRX, Oscillator)]]="RX", Table1[[#This Row],[Type (TX, RX, TRX, Oscillator)]]="RX FE"),C30,#N/A)</f>
        <v>#N/A</v>
      </c>
      <c r="F30" s="1">
        <f>IF(OR(Table1[[#This Row],[Type (TX, RX, TRX, Oscillator)]]="TRX", Table1[[#This Row],[Type (TX, RX, TRX, Oscillator)]]="TRX FE"),C30,#N/A)</f>
        <v>1.5091719583930785</v>
      </c>
      <c r="G30" s="1" t="e">
        <f>IF(Table1[[#This Row],[Type (TX, RX, TRX, Oscillator)]]="Oscillator",C30,#N/A)</f>
        <v>#N/A</v>
      </c>
      <c r="H30" s="1" t="e">
        <f>IF(Table1[[#This Row],[Type (TX, RX, TRX, Oscillator)]]="Relay",C30,#N/A)</f>
        <v>#N/A</v>
      </c>
      <c r="I30" s="1" t="e">
        <f>IF(ISNUMBER(Table1[[#This Row],[Array Aperture Area / Element (mm2)]]),SQRT(Table1[[#This Row],[Array Aperture Area / Element (mm2)]]),#N/A)</f>
        <v>#N/A</v>
      </c>
      <c r="J30" s="1" t="e">
        <f>IF(OR(Table1[[#This Row],[Type (TX, RX, TRX, Oscillator)]]="TX",Table1[[#This Row],[Type (TX, RX, TRX, Oscillator)]]="TX FE"),I30,#N/A)</f>
        <v>#N/A</v>
      </c>
      <c r="K30" s="1" t="e">
        <f>IF(OR(Table1[[#This Row],[Type (TX, RX, TRX, Oscillator)]]="RX",Table1[[#This Row],[Type (TX, RX, TRX, Oscillator)]]="RX FE"),I30,#N/A)</f>
        <v>#N/A</v>
      </c>
      <c r="L30" s="1" t="e">
        <f>IF(OR(Table1[[#This Row],[Type (TX, RX, TRX, Oscillator)]]="TRX", Table1[[#This Row],[Type (TX, RX, TRX, Oscillator)]]="TRX FE"),I30,#N/A)</f>
        <v>#N/A</v>
      </c>
      <c r="M30" s="1" t="e">
        <f>IF(Table1[[#This Row],[Type (TX, RX, TRX, Oscillator)]]="Oscillator",I30,#N/A)</f>
        <v>#N/A</v>
      </c>
      <c r="N30" s="1" t="e">
        <f>IF(Table1[[#This Row],[Type (TX, RX, TRX, Oscillator)]]="Relay",I30,#N/A)</f>
        <v>#N/A</v>
      </c>
    </row>
    <row r="31" spans="1:14" x14ac:dyDescent="0.2">
      <c r="A31" s="1">
        <f>Table1[[#This Row],[Frequency (GHz)]]</f>
        <v>60</v>
      </c>
      <c r="B31" s="1">
        <f t="shared" si="0"/>
        <v>2.5</v>
      </c>
      <c r="C31" s="1">
        <f>IF(ISNUMBER(Table1[[#This Row],[Chip Core Area / Element (mm2)]]),SQRT(Table1[[#This Row],[Chip Core Area / Element (mm2)]]),#N/A)</f>
        <v>1.1138110252641604</v>
      </c>
      <c r="D31" s="1" t="e">
        <f>IF(OR(Table1[[#This Row],[Type (TX, RX, TRX, Oscillator)]]="TX", Table1[[#This Row],[Type (TX, RX, TRX, Oscillator)]]="TX FE"),C31,#N/A)</f>
        <v>#N/A</v>
      </c>
      <c r="E31" s="1" t="e">
        <f>IF(OR(Table1[[#This Row],[Type (TX, RX, TRX, Oscillator)]]="RX", Table1[[#This Row],[Type (TX, RX, TRX, Oscillator)]]="RX FE"),C31,#N/A)</f>
        <v>#N/A</v>
      </c>
      <c r="F31" s="1">
        <f>IF(OR(Table1[[#This Row],[Type (TX, RX, TRX, Oscillator)]]="TRX", Table1[[#This Row],[Type (TX, RX, TRX, Oscillator)]]="TRX FE"),C31,#N/A)</f>
        <v>1.1138110252641604</v>
      </c>
      <c r="G31" s="1" t="e">
        <f>IF(Table1[[#This Row],[Type (TX, RX, TRX, Oscillator)]]="Oscillator",C31,#N/A)</f>
        <v>#N/A</v>
      </c>
      <c r="H31" s="1" t="e">
        <f>IF(Table1[[#This Row],[Type (TX, RX, TRX, Oscillator)]]="Relay",C31,#N/A)</f>
        <v>#N/A</v>
      </c>
      <c r="I31" s="1">
        <f>IF(ISNUMBER(Table1[[#This Row],[Array Aperture Area / Element (mm2)]]),SQRT(Table1[[#This Row],[Array Aperture Area / Element (mm2)]]),#N/A)</f>
        <v>3.6276714294434114</v>
      </c>
      <c r="J31" s="1" t="e">
        <f>IF(OR(Table1[[#This Row],[Type (TX, RX, TRX, Oscillator)]]="TX",Table1[[#This Row],[Type (TX, RX, TRX, Oscillator)]]="TX FE"),I31,#N/A)</f>
        <v>#N/A</v>
      </c>
      <c r="K31" s="1" t="e">
        <f>IF(OR(Table1[[#This Row],[Type (TX, RX, TRX, Oscillator)]]="RX",Table1[[#This Row],[Type (TX, RX, TRX, Oscillator)]]="RX FE"),I31,#N/A)</f>
        <v>#N/A</v>
      </c>
      <c r="L31" s="1">
        <f>IF(OR(Table1[[#This Row],[Type (TX, RX, TRX, Oscillator)]]="TRX", Table1[[#This Row],[Type (TX, RX, TRX, Oscillator)]]="TRX FE"),I31,#N/A)</f>
        <v>3.6276714294434114</v>
      </c>
      <c r="M31" s="1" t="e">
        <f>IF(Table1[[#This Row],[Type (TX, RX, TRX, Oscillator)]]="Oscillator",I31,#N/A)</f>
        <v>#N/A</v>
      </c>
      <c r="N31" s="1" t="e">
        <f>IF(Table1[[#This Row],[Type (TX, RX, TRX, Oscillator)]]="Relay",I31,#N/A)</f>
        <v>#N/A</v>
      </c>
    </row>
    <row r="32" spans="1:14" x14ac:dyDescent="0.2">
      <c r="A32" s="1">
        <f>Table1[[#This Row],[Frequency (GHz)]]</f>
        <v>80</v>
      </c>
      <c r="B32" s="1">
        <f t="shared" si="0"/>
        <v>1.875</v>
      </c>
      <c r="C32" s="1">
        <f>IF(ISNUMBER(Table1[[#This Row],[Chip Core Area / Element (mm2)]]),SQRT(Table1[[#This Row],[Chip Core Area / Element (mm2)]]),#N/A)</f>
        <v>1.6309506430300089</v>
      </c>
      <c r="D32" s="1" t="e">
        <f>IF(OR(Table1[[#This Row],[Type (TX, RX, TRX, Oscillator)]]="TX", Table1[[#This Row],[Type (TX, RX, TRX, Oscillator)]]="TX FE"),C32,#N/A)</f>
        <v>#N/A</v>
      </c>
      <c r="E32" s="1" t="e">
        <f>IF(OR(Table1[[#This Row],[Type (TX, RX, TRX, Oscillator)]]="RX", Table1[[#This Row],[Type (TX, RX, TRX, Oscillator)]]="RX FE"),C32,#N/A)</f>
        <v>#N/A</v>
      </c>
      <c r="F32" s="1">
        <f>IF(OR(Table1[[#This Row],[Type (TX, RX, TRX, Oscillator)]]="TRX", Table1[[#This Row],[Type (TX, RX, TRX, Oscillator)]]="TRX FE"),C32,#N/A)</f>
        <v>1.6309506430300089</v>
      </c>
      <c r="G32" s="1" t="e">
        <f>IF(Table1[[#This Row],[Type (TX, RX, TRX, Oscillator)]]="Oscillator",C32,#N/A)</f>
        <v>#N/A</v>
      </c>
      <c r="H32" s="1" t="e">
        <f>IF(Table1[[#This Row],[Type (TX, RX, TRX, Oscillator)]]="Relay",C32,#N/A)</f>
        <v>#N/A</v>
      </c>
      <c r="I32" s="1">
        <f>IF(ISNUMBER(Table1[[#This Row],[Array Aperture Area / Element (mm2)]]),SQRT(Table1[[#This Row],[Array Aperture Area / Element (mm2)]]),#N/A)</f>
        <v>2.0718600741041047</v>
      </c>
      <c r="J32" s="1" t="e">
        <f>IF(OR(Table1[[#This Row],[Type (TX, RX, TRX, Oscillator)]]="TX",Table1[[#This Row],[Type (TX, RX, TRX, Oscillator)]]="TX FE"),I32,#N/A)</f>
        <v>#N/A</v>
      </c>
      <c r="K32" s="1" t="e">
        <f>IF(OR(Table1[[#This Row],[Type (TX, RX, TRX, Oscillator)]]="RX",Table1[[#This Row],[Type (TX, RX, TRX, Oscillator)]]="RX FE"),I32,#N/A)</f>
        <v>#N/A</v>
      </c>
      <c r="L32" s="1">
        <f>IF(OR(Table1[[#This Row],[Type (TX, RX, TRX, Oscillator)]]="TRX", Table1[[#This Row],[Type (TX, RX, TRX, Oscillator)]]="TRX FE"),I32,#N/A)</f>
        <v>2.0718600741041047</v>
      </c>
      <c r="M32" s="1" t="e">
        <f>IF(Table1[[#This Row],[Type (TX, RX, TRX, Oscillator)]]="Oscillator",I32,#N/A)</f>
        <v>#N/A</v>
      </c>
      <c r="N32" s="1" t="e">
        <f>IF(Table1[[#This Row],[Type (TX, RX, TRX, Oscillator)]]="Relay",I32,#N/A)</f>
        <v>#N/A</v>
      </c>
    </row>
    <row r="33" spans="1:14" x14ac:dyDescent="0.2">
      <c r="A33" s="1">
        <f>Table1[[#This Row],[Frequency (GHz)]]</f>
        <v>90</v>
      </c>
      <c r="B33" s="1">
        <f t="shared" si="0"/>
        <v>1.6666666666666667</v>
      </c>
      <c r="C33" s="1">
        <f>IF(ISNUMBER(Table1[[#This Row],[Chip Core Area / Element (mm2)]]),SQRT(Table1[[#This Row],[Chip Core Area / Element (mm2)]]),#N/A)</f>
        <v>1.6309506430300089</v>
      </c>
      <c r="D33" s="1" t="e">
        <f>IF(OR(Table1[[#This Row],[Type (TX, RX, TRX, Oscillator)]]="TX", Table1[[#This Row],[Type (TX, RX, TRX, Oscillator)]]="TX FE"),C33,#N/A)</f>
        <v>#N/A</v>
      </c>
      <c r="E33" s="1" t="e">
        <f>IF(OR(Table1[[#This Row],[Type (TX, RX, TRX, Oscillator)]]="RX", Table1[[#This Row],[Type (TX, RX, TRX, Oscillator)]]="RX FE"),C33,#N/A)</f>
        <v>#N/A</v>
      </c>
      <c r="F33" s="1">
        <f>IF(OR(Table1[[#This Row],[Type (TX, RX, TRX, Oscillator)]]="TRX", Table1[[#This Row],[Type (TX, RX, TRX, Oscillator)]]="TRX FE"),C33,#N/A)</f>
        <v>1.6309506430300089</v>
      </c>
      <c r="G33" s="1" t="e">
        <f>IF(Table1[[#This Row],[Type (TX, RX, TRX, Oscillator)]]="Oscillator",C33,#N/A)</f>
        <v>#N/A</v>
      </c>
      <c r="H33" s="1" t="e">
        <f>IF(Table1[[#This Row],[Type (TX, RX, TRX, Oscillator)]]="Relay",C33,#N/A)</f>
        <v>#N/A</v>
      </c>
      <c r="I33" s="1">
        <f>IF(ISNUMBER(Table1[[#This Row],[Array Aperture Area / Element (mm2)]]),SQRT(Table1[[#This Row],[Array Aperture Area / Element (mm2)]]),#N/A)</f>
        <v>2.0718600741041047</v>
      </c>
      <c r="J33" s="1" t="e">
        <f>IF(OR(Table1[[#This Row],[Type (TX, RX, TRX, Oscillator)]]="TX",Table1[[#This Row],[Type (TX, RX, TRX, Oscillator)]]="TX FE"),I33,#N/A)</f>
        <v>#N/A</v>
      </c>
      <c r="K33" s="1" t="e">
        <f>IF(OR(Table1[[#This Row],[Type (TX, RX, TRX, Oscillator)]]="RX",Table1[[#This Row],[Type (TX, RX, TRX, Oscillator)]]="RX FE"),I33,#N/A)</f>
        <v>#N/A</v>
      </c>
      <c r="L33" s="1">
        <f>IF(OR(Table1[[#This Row],[Type (TX, RX, TRX, Oscillator)]]="TRX", Table1[[#This Row],[Type (TX, RX, TRX, Oscillator)]]="TRX FE"),I33,#N/A)</f>
        <v>2.0718600741041047</v>
      </c>
      <c r="M33" s="1" t="e">
        <f>IF(Table1[[#This Row],[Type (TX, RX, TRX, Oscillator)]]="Oscillator",I33,#N/A)</f>
        <v>#N/A</v>
      </c>
      <c r="N33" s="1" t="e">
        <f>IF(Table1[[#This Row],[Type (TX, RX, TRX, Oscillator)]]="Relay",I33,#N/A)</f>
        <v>#N/A</v>
      </c>
    </row>
    <row r="34" spans="1:14" x14ac:dyDescent="0.2">
      <c r="A34" s="1">
        <f>Table1[[#This Row],[Frequency (GHz)]]</f>
        <v>60</v>
      </c>
      <c r="B34" s="1">
        <f t="shared" si="0"/>
        <v>2.5</v>
      </c>
      <c r="C34" s="1" t="e">
        <f>IF(ISNUMBER(Table1[[#This Row],[Chip Core Area / Element (mm2)]]),SQRT(Table1[[#This Row],[Chip Core Area / Element (mm2)]]),#N/A)</f>
        <v>#N/A</v>
      </c>
      <c r="D34" s="1" t="e">
        <f>IF(OR(Table1[[#This Row],[Type (TX, RX, TRX, Oscillator)]]="TX", Table1[[#This Row],[Type (TX, RX, TRX, Oscillator)]]="TX FE"),C34,#N/A)</f>
        <v>#N/A</v>
      </c>
      <c r="E34" s="1" t="e">
        <f>IF(OR(Table1[[#This Row],[Type (TX, RX, TRX, Oscillator)]]="RX", Table1[[#This Row],[Type (TX, RX, TRX, Oscillator)]]="RX FE"),C34,#N/A)</f>
        <v>#N/A</v>
      </c>
      <c r="F34" s="1" t="e">
        <f>IF(OR(Table1[[#This Row],[Type (TX, RX, TRX, Oscillator)]]="TRX", Table1[[#This Row],[Type (TX, RX, TRX, Oscillator)]]="TRX FE"),C34,#N/A)</f>
        <v>#N/A</v>
      </c>
      <c r="G34" s="1" t="e">
        <f>IF(Table1[[#This Row],[Type (TX, RX, TRX, Oscillator)]]="Oscillator",C34,#N/A)</f>
        <v>#N/A</v>
      </c>
      <c r="H34" s="1" t="e">
        <f>IF(Table1[[#This Row],[Type (TX, RX, TRX, Oscillator)]]="Relay",C34,#N/A)</f>
        <v>#N/A</v>
      </c>
      <c r="I34" s="1">
        <f>IF(ISNUMBER(Table1[[#This Row],[Array Aperture Area / Element (mm2)]]),SQRT(Table1[[#This Row],[Array Aperture Area / Element (mm2)]]),#N/A)</f>
        <v>2.2782453304493542</v>
      </c>
      <c r="J34" s="1" t="e">
        <f>IF(OR(Table1[[#This Row],[Type (TX, RX, TRX, Oscillator)]]="TX",Table1[[#This Row],[Type (TX, RX, TRX, Oscillator)]]="TX FE"),I34,#N/A)</f>
        <v>#N/A</v>
      </c>
      <c r="K34" s="1" t="e">
        <f>IF(OR(Table1[[#This Row],[Type (TX, RX, TRX, Oscillator)]]="RX",Table1[[#This Row],[Type (TX, RX, TRX, Oscillator)]]="RX FE"),I34,#N/A)</f>
        <v>#N/A</v>
      </c>
      <c r="L34" s="1" t="e">
        <f>IF(OR(Table1[[#This Row],[Type (TX, RX, TRX, Oscillator)]]="TRX", Table1[[#This Row],[Type (TX, RX, TRX, Oscillator)]]="TRX FE"),I34,#N/A)</f>
        <v>#N/A</v>
      </c>
      <c r="M34" s="1" t="e">
        <f>IF(Table1[[#This Row],[Type (TX, RX, TRX, Oscillator)]]="Oscillator",I34,#N/A)</f>
        <v>#N/A</v>
      </c>
      <c r="N34" s="1">
        <f>IF(Table1[[#This Row],[Type (TX, RX, TRX, Oscillator)]]="Relay",I34,#N/A)</f>
        <v>2.2782453304493542</v>
      </c>
    </row>
    <row r="35" spans="1:14" x14ac:dyDescent="0.2">
      <c r="A35" s="1">
        <f>Table1[[#This Row],[Frequency (GHz)]]</f>
        <v>28</v>
      </c>
      <c r="B35" s="1">
        <f t="shared" si="0"/>
        <v>5.3571428571428568</v>
      </c>
      <c r="C35" s="1">
        <f>IF(ISNUMBER(Table1[[#This Row],[Chip Core Area / Element (mm2)]]),SQRT(Table1[[#This Row],[Chip Core Area / Element (mm2)]]),#N/A)</f>
        <v>1.527088733505686</v>
      </c>
      <c r="D35" s="1" t="e">
        <f>IF(OR(Table1[[#This Row],[Type (TX, RX, TRX, Oscillator)]]="TX", Table1[[#This Row],[Type (TX, RX, TRX, Oscillator)]]="TX FE"),C35,#N/A)</f>
        <v>#N/A</v>
      </c>
      <c r="E35" s="1" t="e">
        <f>IF(OR(Table1[[#This Row],[Type (TX, RX, TRX, Oscillator)]]="RX", Table1[[#This Row],[Type (TX, RX, TRX, Oscillator)]]="RX FE"),C35,#N/A)</f>
        <v>#N/A</v>
      </c>
      <c r="F35" s="1">
        <f>IF(OR(Table1[[#This Row],[Type (TX, RX, TRX, Oscillator)]]="TRX", Table1[[#This Row],[Type (TX, RX, TRX, Oscillator)]]="TRX FE"),C35,#N/A)</f>
        <v>1.527088733505686</v>
      </c>
      <c r="G35" s="1" t="e">
        <f>IF(Table1[[#This Row],[Type (TX, RX, TRX, Oscillator)]]="Oscillator",C35,#N/A)</f>
        <v>#N/A</v>
      </c>
      <c r="H35" s="1" t="e">
        <f>IF(Table1[[#This Row],[Type (TX, RX, TRX, Oscillator)]]="Relay",C35,#N/A)</f>
        <v>#N/A</v>
      </c>
      <c r="I35" s="1">
        <f>IF(ISNUMBER(Table1[[#This Row],[Array Aperture Area / Element (mm2)]]),SQRT(Table1[[#This Row],[Array Aperture Area / Element (mm2)]]),#N/A)</f>
        <v>5.3665631459994954</v>
      </c>
      <c r="J35" s="1" t="e">
        <f>IF(OR(Table1[[#This Row],[Type (TX, RX, TRX, Oscillator)]]="TX",Table1[[#This Row],[Type (TX, RX, TRX, Oscillator)]]="TX FE"),I35,#N/A)</f>
        <v>#N/A</v>
      </c>
      <c r="K35" s="1" t="e">
        <f>IF(OR(Table1[[#This Row],[Type (TX, RX, TRX, Oscillator)]]="RX",Table1[[#This Row],[Type (TX, RX, TRX, Oscillator)]]="RX FE"),I35,#N/A)</f>
        <v>#N/A</v>
      </c>
      <c r="L35" s="1">
        <f>IF(OR(Table1[[#This Row],[Type (TX, RX, TRX, Oscillator)]]="TRX", Table1[[#This Row],[Type (TX, RX, TRX, Oscillator)]]="TRX FE"),I35,#N/A)</f>
        <v>5.3665631459994954</v>
      </c>
      <c r="M35" s="1" t="e">
        <f>IF(Table1[[#This Row],[Type (TX, RX, TRX, Oscillator)]]="Oscillator",I35,#N/A)</f>
        <v>#N/A</v>
      </c>
      <c r="N35" s="1" t="e">
        <f>IF(Table1[[#This Row],[Type (TX, RX, TRX, Oscillator)]]="Relay",I35,#N/A)</f>
        <v>#N/A</v>
      </c>
    </row>
    <row r="36" spans="1:14" x14ac:dyDescent="0.2">
      <c r="A36" s="1">
        <f>Table1[[#This Row],[Frequency (GHz)]]</f>
        <v>94</v>
      </c>
      <c r="B36" s="1">
        <f t="shared" si="0"/>
        <v>1.5957446808510638</v>
      </c>
      <c r="C36" s="1">
        <f>IF(ISNUMBER(Table1[[#This Row],[Chip Core Area / Element (mm2)]]),SQRT(Table1[[#This Row],[Chip Core Area / Element (mm2)]]),#N/A)</f>
        <v>2.1656407827707715</v>
      </c>
      <c r="D36" s="1">
        <f>IF(OR(Table1[[#This Row],[Type (TX, RX, TRX, Oscillator)]]="TX", Table1[[#This Row],[Type (TX, RX, TRX, Oscillator)]]="TX FE"),C36,#N/A)</f>
        <v>2.1656407827707715</v>
      </c>
      <c r="E36" s="1" t="e">
        <f>IF(OR(Table1[[#This Row],[Type (TX, RX, TRX, Oscillator)]]="RX", Table1[[#This Row],[Type (TX, RX, TRX, Oscillator)]]="RX FE"),C36,#N/A)</f>
        <v>#N/A</v>
      </c>
      <c r="F36" s="1" t="e">
        <f>IF(OR(Table1[[#This Row],[Type (TX, RX, TRX, Oscillator)]]="TRX", Table1[[#This Row],[Type (TX, RX, TRX, Oscillator)]]="TRX FE"),C36,#N/A)</f>
        <v>#N/A</v>
      </c>
      <c r="G36" s="1" t="e">
        <f>IF(Table1[[#This Row],[Type (TX, RX, TRX, Oscillator)]]="Oscillator",C36,#N/A)</f>
        <v>#N/A</v>
      </c>
      <c r="H36" s="1" t="e">
        <f>IF(Table1[[#This Row],[Type (TX, RX, TRX, Oscillator)]]="Relay",C36,#N/A)</f>
        <v>#N/A</v>
      </c>
      <c r="I36" s="1">
        <f>IF(ISNUMBER(Table1[[#This Row],[Array Aperture Area / Element (mm2)]]),SQRT(Table1[[#This Row],[Array Aperture Area / Element (mm2)]]),#N/A)</f>
        <v>2</v>
      </c>
      <c r="J36" s="1">
        <f>IF(OR(Table1[[#This Row],[Type (TX, RX, TRX, Oscillator)]]="TX",Table1[[#This Row],[Type (TX, RX, TRX, Oscillator)]]="TX FE"),I36,#N/A)</f>
        <v>2</v>
      </c>
      <c r="K36" s="1" t="e">
        <f>IF(OR(Table1[[#This Row],[Type (TX, RX, TRX, Oscillator)]]="RX",Table1[[#This Row],[Type (TX, RX, TRX, Oscillator)]]="RX FE"),I36,#N/A)</f>
        <v>#N/A</v>
      </c>
      <c r="L36" s="1" t="e">
        <f>IF(OR(Table1[[#This Row],[Type (TX, RX, TRX, Oscillator)]]="TRX", Table1[[#This Row],[Type (TX, RX, TRX, Oscillator)]]="TRX FE"),I36,#N/A)</f>
        <v>#N/A</v>
      </c>
      <c r="M36" s="1" t="e">
        <f>IF(Table1[[#This Row],[Type (TX, RX, TRX, Oscillator)]]="Oscillator",I36,#N/A)</f>
        <v>#N/A</v>
      </c>
      <c r="N36" s="1" t="e">
        <f>IF(Table1[[#This Row],[Type (TX, RX, TRX, Oscillator)]]="Relay",I36,#N/A)</f>
        <v>#N/A</v>
      </c>
    </row>
    <row r="37" spans="1:14" x14ac:dyDescent="0.2">
      <c r="A37" s="1">
        <f>Table1[[#This Row],[Frequency (GHz)]]</f>
        <v>94</v>
      </c>
      <c r="B37" s="1">
        <f t="shared" si="0"/>
        <v>1.5957446808510638</v>
      </c>
      <c r="C37" s="1">
        <f>IF(ISNUMBER(Table1[[#This Row],[Chip Core Area / Element (mm2)]]),SQRT(Table1[[#This Row],[Chip Core Area / Element (mm2)]]),#N/A)</f>
        <v>2.1656407827707715</v>
      </c>
      <c r="D37" s="1" t="e">
        <f>IF(OR(Table1[[#This Row],[Type (TX, RX, TRX, Oscillator)]]="TX", Table1[[#This Row],[Type (TX, RX, TRX, Oscillator)]]="TX FE"),C37,#N/A)</f>
        <v>#N/A</v>
      </c>
      <c r="E37" s="1">
        <f>IF(OR(Table1[[#This Row],[Type (TX, RX, TRX, Oscillator)]]="RX", Table1[[#This Row],[Type (TX, RX, TRX, Oscillator)]]="RX FE"),C37,#N/A)</f>
        <v>2.1656407827707715</v>
      </c>
      <c r="F37" s="1" t="e">
        <f>IF(OR(Table1[[#This Row],[Type (TX, RX, TRX, Oscillator)]]="TRX", Table1[[#This Row],[Type (TX, RX, TRX, Oscillator)]]="TRX FE"),C37,#N/A)</f>
        <v>#N/A</v>
      </c>
      <c r="G37" s="1" t="e">
        <f>IF(Table1[[#This Row],[Type (TX, RX, TRX, Oscillator)]]="Oscillator",C37,#N/A)</f>
        <v>#N/A</v>
      </c>
      <c r="H37" s="1" t="e">
        <f>IF(Table1[[#This Row],[Type (TX, RX, TRX, Oscillator)]]="Relay",C37,#N/A)</f>
        <v>#N/A</v>
      </c>
      <c r="I37" s="1">
        <f>IF(ISNUMBER(Table1[[#This Row],[Array Aperture Area / Element (mm2)]]),SQRT(Table1[[#This Row],[Array Aperture Area / Element (mm2)]]),#N/A)</f>
        <v>2</v>
      </c>
      <c r="J37" s="1" t="e">
        <f>IF(OR(Table1[[#This Row],[Type (TX, RX, TRX, Oscillator)]]="TX",Table1[[#This Row],[Type (TX, RX, TRX, Oscillator)]]="TX FE"),I37,#N/A)</f>
        <v>#N/A</v>
      </c>
      <c r="K37" s="1">
        <f>IF(OR(Table1[[#This Row],[Type (TX, RX, TRX, Oscillator)]]="RX",Table1[[#This Row],[Type (TX, RX, TRX, Oscillator)]]="RX FE"),I37,#N/A)</f>
        <v>2</v>
      </c>
      <c r="L37" s="1" t="e">
        <f>IF(OR(Table1[[#This Row],[Type (TX, RX, TRX, Oscillator)]]="TRX", Table1[[#This Row],[Type (TX, RX, TRX, Oscillator)]]="TRX FE"),I37,#N/A)</f>
        <v>#N/A</v>
      </c>
      <c r="M37" s="1" t="e">
        <f>IF(Table1[[#This Row],[Type (TX, RX, TRX, Oscillator)]]="Oscillator",I37,#N/A)</f>
        <v>#N/A</v>
      </c>
      <c r="N37" s="1" t="e">
        <f>IF(Table1[[#This Row],[Type (TX, RX, TRX, Oscillator)]]="Relay",I37,#N/A)</f>
        <v>#N/A</v>
      </c>
    </row>
    <row r="38" spans="1:14" x14ac:dyDescent="0.2">
      <c r="A38" s="1">
        <f>Table1[[#This Row],[Frequency (GHz)]]</f>
        <v>42</v>
      </c>
      <c r="B38" s="1">
        <f t="shared" si="0"/>
        <v>3.5714285714285712</v>
      </c>
      <c r="C38" s="1" t="e">
        <f>IF(ISNUMBER(Table1[[#This Row],[Chip Core Area / Element (mm2)]]),SQRT(Table1[[#This Row],[Chip Core Area / Element (mm2)]]),#N/A)</f>
        <v>#N/A</v>
      </c>
      <c r="D38" s="1" t="e">
        <f>IF(OR(Table1[[#This Row],[Type (TX, RX, TRX, Oscillator)]]="TX", Table1[[#This Row],[Type (TX, RX, TRX, Oscillator)]]="TX FE"),C38,#N/A)</f>
        <v>#N/A</v>
      </c>
      <c r="E38" s="1" t="e">
        <f>IF(OR(Table1[[#This Row],[Type (TX, RX, TRX, Oscillator)]]="RX", Table1[[#This Row],[Type (TX, RX, TRX, Oscillator)]]="RX FE"),C38,#N/A)</f>
        <v>#N/A</v>
      </c>
      <c r="F38" s="1" t="e">
        <f>IF(OR(Table1[[#This Row],[Type (TX, RX, TRX, Oscillator)]]="TRX", Table1[[#This Row],[Type (TX, RX, TRX, Oscillator)]]="TRX FE"),C38,#N/A)</f>
        <v>#N/A</v>
      </c>
      <c r="G38" s="1" t="e">
        <f>IF(Table1[[#This Row],[Type (TX, RX, TRX, Oscillator)]]="Oscillator",C38,#N/A)</f>
        <v>#N/A</v>
      </c>
      <c r="H38" s="1" t="e">
        <f>IF(Table1[[#This Row],[Type (TX, RX, TRX, Oscillator)]]="Relay",C38,#N/A)</f>
        <v>#N/A</v>
      </c>
      <c r="I38" s="1" t="e">
        <f>IF(ISNUMBER(Table1[[#This Row],[Array Aperture Area / Element (mm2)]]),SQRT(Table1[[#This Row],[Array Aperture Area / Element (mm2)]]),#N/A)</f>
        <v>#N/A</v>
      </c>
      <c r="J38" s="1" t="e">
        <f>IF(OR(Table1[[#This Row],[Type (TX, RX, TRX, Oscillator)]]="TX",Table1[[#This Row],[Type (TX, RX, TRX, Oscillator)]]="TX FE"),I38,#N/A)</f>
        <v>#N/A</v>
      </c>
      <c r="K38" s="1" t="e">
        <f>IF(OR(Table1[[#This Row],[Type (TX, RX, TRX, Oscillator)]]="RX",Table1[[#This Row],[Type (TX, RX, TRX, Oscillator)]]="RX FE"),I38,#N/A)</f>
        <v>#N/A</v>
      </c>
      <c r="L38" s="1" t="e">
        <f>IF(OR(Table1[[#This Row],[Type (TX, RX, TRX, Oscillator)]]="TRX", Table1[[#This Row],[Type (TX, RX, TRX, Oscillator)]]="TRX FE"),I38,#N/A)</f>
        <v>#N/A</v>
      </c>
      <c r="M38" s="1" t="e">
        <f>IF(Table1[[#This Row],[Type (TX, RX, TRX, Oscillator)]]="Oscillator",I38,#N/A)</f>
        <v>#N/A</v>
      </c>
      <c r="N38" s="1" t="e">
        <f>IF(Table1[[#This Row],[Type (TX, RX, TRX, Oscillator)]]="Relay",I38,#N/A)</f>
        <v>#N/A</v>
      </c>
    </row>
    <row r="39" spans="1:14" x14ac:dyDescent="0.2">
      <c r="A39" s="1">
        <f>Table1[[#This Row],[Frequency (GHz)]]</f>
        <v>145</v>
      </c>
      <c r="B39" s="1">
        <f t="shared" si="0"/>
        <v>1.0344827586206897</v>
      </c>
      <c r="C39" s="1">
        <f>IF(ISNUMBER(Table1[[#This Row],[Chip Core Area / Element (mm2)]]),SQRT(Table1[[#This Row],[Chip Core Area / Element (mm2)]]),#N/A)</f>
        <v>2.499919998719959</v>
      </c>
      <c r="D39" s="1" t="e">
        <f>IF(OR(Table1[[#This Row],[Type (TX, RX, TRX, Oscillator)]]="TX", Table1[[#This Row],[Type (TX, RX, TRX, Oscillator)]]="TX FE"),C39,#N/A)</f>
        <v>#N/A</v>
      </c>
      <c r="E39" s="1" t="e">
        <f>IF(OR(Table1[[#This Row],[Type (TX, RX, TRX, Oscillator)]]="RX", Table1[[#This Row],[Type (TX, RX, TRX, Oscillator)]]="RX FE"),C39,#N/A)</f>
        <v>#N/A</v>
      </c>
      <c r="F39" s="1">
        <f>IF(OR(Table1[[#This Row],[Type (TX, RX, TRX, Oscillator)]]="TRX", Table1[[#This Row],[Type (TX, RX, TRX, Oscillator)]]="TRX FE"),C39,#N/A)</f>
        <v>2.499919998719959</v>
      </c>
      <c r="G39" s="1" t="e">
        <f>IF(Table1[[#This Row],[Type (TX, RX, TRX, Oscillator)]]="Oscillator",C39,#N/A)</f>
        <v>#N/A</v>
      </c>
      <c r="H39" s="1" t="e">
        <f>IF(Table1[[#This Row],[Type (TX, RX, TRX, Oscillator)]]="Relay",C39,#N/A)</f>
        <v>#N/A</v>
      </c>
      <c r="I39" s="1" t="e">
        <f>IF(ISNUMBER(Table1[[#This Row],[Array Aperture Area / Element (mm2)]]),SQRT(Table1[[#This Row],[Array Aperture Area / Element (mm2)]]),#N/A)</f>
        <v>#N/A</v>
      </c>
      <c r="J39" s="1" t="e">
        <f>IF(OR(Table1[[#This Row],[Type (TX, RX, TRX, Oscillator)]]="TX",Table1[[#This Row],[Type (TX, RX, TRX, Oscillator)]]="TX FE"),I39,#N/A)</f>
        <v>#N/A</v>
      </c>
      <c r="K39" s="1" t="e">
        <f>IF(OR(Table1[[#This Row],[Type (TX, RX, TRX, Oscillator)]]="RX",Table1[[#This Row],[Type (TX, RX, TRX, Oscillator)]]="RX FE"),I39,#N/A)</f>
        <v>#N/A</v>
      </c>
      <c r="L39" s="1" t="e">
        <f>IF(OR(Table1[[#This Row],[Type (TX, RX, TRX, Oscillator)]]="TRX", Table1[[#This Row],[Type (TX, RX, TRX, Oscillator)]]="TRX FE"),I39,#N/A)</f>
        <v>#N/A</v>
      </c>
      <c r="M39" s="1" t="e">
        <f>IF(Table1[[#This Row],[Type (TX, RX, TRX, Oscillator)]]="Oscillator",I39,#N/A)</f>
        <v>#N/A</v>
      </c>
      <c r="N39" s="1" t="e">
        <f>IF(Table1[[#This Row],[Type (TX, RX, TRX, Oscillator)]]="Relay",I39,#N/A)</f>
        <v>#N/A</v>
      </c>
    </row>
    <row r="40" spans="1:14" x14ac:dyDescent="0.2">
      <c r="A40" s="1">
        <f>Table1[[#This Row],[Frequency (GHz)]]</f>
        <v>27</v>
      </c>
      <c r="B40" s="1">
        <f t="shared" si="0"/>
        <v>5.5555555555555554</v>
      </c>
      <c r="C40" s="1">
        <f>IF(ISNUMBER(Table1[[#This Row],[Chip Core Area / Element (mm2)]]),SQRT(Table1[[#This Row],[Chip Core Area / Element (mm2)]]),#N/A)</f>
        <v>3.207366520995067</v>
      </c>
      <c r="D40" s="1" t="e">
        <f>IF(OR(Table1[[#This Row],[Type (TX, RX, TRX, Oscillator)]]="TX", Table1[[#This Row],[Type (TX, RX, TRX, Oscillator)]]="TX FE"),C40,#N/A)</f>
        <v>#N/A</v>
      </c>
      <c r="E40" s="1">
        <f>IF(OR(Table1[[#This Row],[Type (TX, RX, TRX, Oscillator)]]="RX", Table1[[#This Row],[Type (TX, RX, TRX, Oscillator)]]="RX FE"),C40,#N/A)</f>
        <v>3.207366520995067</v>
      </c>
      <c r="F40" s="1" t="e">
        <f>IF(OR(Table1[[#This Row],[Type (TX, RX, TRX, Oscillator)]]="TRX", Table1[[#This Row],[Type (TX, RX, TRX, Oscillator)]]="TRX FE"),C40,#N/A)</f>
        <v>#N/A</v>
      </c>
      <c r="G40" s="1" t="e">
        <f>IF(Table1[[#This Row],[Type (TX, RX, TRX, Oscillator)]]="Oscillator",C40,#N/A)</f>
        <v>#N/A</v>
      </c>
      <c r="H40" s="1" t="e">
        <f>IF(Table1[[#This Row],[Type (TX, RX, TRX, Oscillator)]]="Relay",C40,#N/A)</f>
        <v>#N/A</v>
      </c>
      <c r="I40" s="1" t="e">
        <f>IF(ISNUMBER(Table1[[#This Row],[Array Aperture Area / Element (mm2)]]),SQRT(Table1[[#This Row],[Array Aperture Area / Element (mm2)]]),#N/A)</f>
        <v>#N/A</v>
      </c>
      <c r="J40" s="1" t="e">
        <f>IF(OR(Table1[[#This Row],[Type (TX, RX, TRX, Oscillator)]]="TX",Table1[[#This Row],[Type (TX, RX, TRX, Oscillator)]]="TX FE"),I40,#N/A)</f>
        <v>#N/A</v>
      </c>
      <c r="K40" s="1" t="e">
        <f>IF(OR(Table1[[#This Row],[Type (TX, RX, TRX, Oscillator)]]="RX",Table1[[#This Row],[Type (TX, RX, TRX, Oscillator)]]="RX FE"),I40,#N/A)</f>
        <v>#N/A</v>
      </c>
      <c r="L40" s="1" t="e">
        <f>IF(OR(Table1[[#This Row],[Type (TX, RX, TRX, Oscillator)]]="TRX", Table1[[#This Row],[Type (TX, RX, TRX, Oscillator)]]="TRX FE"),I40,#N/A)</f>
        <v>#N/A</v>
      </c>
      <c r="M40" s="1" t="e">
        <f>IF(Table1[[#This Row],[Type (TX, RX, TRX, Oscillator)]]="Oscillator",I40,#N/A)</f>
        <v>#N/A</v>
      </c>
      <c r="N40" s="1" t="e">
        <f>IF(Table1[[#This Row],[Type (TX, RX, TRX, Oscillator)]]="Relay",I40,#N/A)</f>
        <v>#N/A</v>
      </c>
    </row>
    <row r="41" spans="1:14" x14ac:dyDescent="0.2">
      <c r="A41" s="1">
        <f>Table1[[#This Row],[Frequency (GHz)]]</f>
        <v>41</v>
      </c>
      <c r="B41" s="1">
        <f t="shared" si="0"/>
        <v>3.6585365853658538</v>
      </c>
      <c r="C41" s="1">
        <f>IF(ISNUMBER(Table1[[#This Row],[Chip Core Area / Element (mm2)]]),SQRT(Table1[[#This Row],[Chip Core Area / Element (mm2)]]),#N/A)</f>
        <v>3.207366520995067</v>
      </c>
      <c r="D41" s="1" t="e">
        <f>IF(OR(Table1[[#This Row],[Type (TX, RX, TRX, Oscillator)]]="TX", Table1[[#This Row],[Type (TX, RX, TRX, Oscillator)]]="TX FE"),C41,#N/A)</f>
        <v>#N/A</v>
      </c>
      <c r="E41" s="1">
        <f>IF(OR(Table1[[#This Row],[Type (TX, RX, TRX, Oscillator)]]="RX", Table1[[#This Row],[Type (TX, RX, TRX, Oscillator)]]="RX FE"),C41,#N/A)</f>
        <v>3.207366520995067</v>
      </c>
      <c r="F41" s="1" t="e">
        <f>IF(OR(Table1[[#This Row],[Type (TX, RX, TRX, Oscillator)]]="TRX", Table1[[#This Row],[Type (TX, RX, TRX, Oscillator)]]="TRX FE"),C41,#N/A)</f>
        <v>#N/A</v>
      </c>
      <c r="G41" s="1" t="e">
        <f>IF(Table1[[#This Row],[Type (TX, RX, TRX, Oscillator)]]="Oscillator",C41,#N/A)</f>
        <v>#N/A</v>
      </c>
      <c r="H41" s="1" t="e">
        <f>IF(Table1[[#This Row],[Type (TX, RX, TRX, Oscillator)]]="Relay",C41,#N/A)</f>
        <v>#N/A</v>
      </c>
      <c r="I41" s="1" t="e">
        <f>IF(ISNUMBER(Table1[[#This Row],[Array Aperture Area / Element (mm2)]]),SQRT(Table1[[#This Row],[Array Aperture Area / Element (mm2)]]),#N/A)</f>
        <v>#N/A</v>
      </c>
      <c r="J41" s="1" t="e">
        <f>IF(OR(Table1[[#This Row],[Type (TX, RX, TRX, Oscillator)]]="TX",Table1[[#This Row],[Type (TX, RX, TRX, Oscillator)]]="TX FE"),I41,#N/A)</f>
        <v>#N/A</v>
      </c>
      <c r="K41" s="1" t="e">
        <f>IF(OR(Table1[[#This Row],[Type (TX, RX, TRX, Oscillator)]]="RX",Table1[[#This Row],[Type (TX, RX, TRX, Oscillator)]]="RX FE"),I41,#N/A)</f>
        <v>#N/A</v>
      </c>
      <c r="L41" s="1" t="e">
        <f>IF(OR(Table1[[#This Row],[Type (TX, RX, TRX, Oscillator)]]="TRX", Table1[[#This Row],[Type (TX, RX, TRX, Oscillator)]]="TRX FE"),I41,#N/A)</f>
        <v>#N/A</v>
      </c>
      <c r="M41" s="1" t="e">
        <f>IF(Table1[[#This Row],[Type (TX, RX, TRX, Oscillator)]]="Oscillator",I41,#N/A)</f>
        <v>#N/A</v>
      </c>
      <c r="N41" s="1" t="e">
        <f>IF(Table1[[#This Row],[Type (TX, RX, TRX, Oscillator)]]="Relay",I41,#N/A)</f>
        <v>#N/A</v>
      </c>
    </row>
    <row r="42" spans="1:14" x14ac:dyDescent="0.2">
      <c r="A42" s="1">
        <f>Table1[[#This Row],[Frequency (GHz)]]</f>
        <v>73</v>
      </c>
      <c r="B42" s="1">
        <f t="shared" si="0"/>
        <v>2.054794520547945</v>
      </c>
      <c r="C42" s="1">
        <f>IF(ISNUMBER(Table1[[#This Row],[Chip Core Area / Element (mm2)]]),SQRT(Table1[[#This Row],[Chip Core Area / Element (mm2)]]),#N/A)</f>
        <v>1.1224972160321824</v>
      </c>
      <c r="D42" s="1" t="e">
        <f>IF(OR(Table1[[#This Row],[Type (TX, RX, TRX, Oscillator)]]="TX", Table1[[#This Row],[Type (TX, RX, TRX, Oscillator)]]="TX FE"),C42,#N/A)</f>
        <v>#N/A</v>
      </c>
      <c r="E42" s="1" t="e">
        <f>IF(OR(Table1[[#This Row],[Type (TX, RX, TRX, Oscillator)]]="RX", Table1[[#This Row],[Type (TX, RX, TRX, Oscillator)]]="RX FE"),C42,#N/A)</f>
        <v>#N/A</v>
      </c>
      <c r="F42" s="1">
        <f>IF(OR(Table1[[#This Row],[Type (TX, RX, TRX, Oscillator)]]="TRX", Table1[[#This Row],[Type (TX, RX, TRX, Oscillator)]]="TRX FE"),C42,#N/A)</f>
        <v>1.1224972160321824</v>
      </c>
      <c r="G42" s="1" t="e">
        <f>IF(Table1[[#This Row],[Type (TX, RX, TRX, Oscillator)]]="Oscillator",C42,#N/A)</f>
        <v>#N/A</v>
      </c>
      <c r="H42" s="1" t="e">
        <f>IF(Table1[[#This Row],[Type (TX, RX, TRX, Oscillator)]]="Relay",C42,#N/A)</f>
        <v>#N/A</v>
      </c>
      <c r="I42" s="1">
        <f>IF(ISNUMBER(Table1[[#This Row],[Array Aperture Area / Element (mm2)]]),SQRT(Table1[[#This Row],[Array Aperture Area / Element (mm2)]]),#N/A)</f>
        <v>1.948557158514987</v>
      </c>
      <c r="J42" s="1" t="e">
        <f>IF(OR(Table1[[#This Row],[Type (TX, RX, TRX, Oscillator)]]="TX",Table1[[#This Row],[Type (TX, RX, TRX, Oscillator)]]="TX FE"),I42,#N/A)</f>
        <v>#N/A</v>
      </c>
      <c r="K42" s="1" t="e">
        <f>IF(OR(Table1[[#This Row],[Type (TX, RX, TRX, Oscillator)]]="RX",Table1[[#This Row],[Type (TX, RX, TRX, Oscillator)]]="RX FE"),I42,#N/A)</f>
        <v>#N/A</v>
      </c>
      <c r="L42" s="1">
        <f>IF(OR(Table1[[#This Row],[Type (TX, RX, TRX, Oscillator)]]="TRX", Table1[[#This Row],[Type (TX, RX, TRX, Oscillator)]]="TRX FE"),I42,#N/A)</f>
        <v>1.948557158514987</v>
      </c>
      <c r="M42" s="1" t="e">
        <f>IF(Table1[[#This Row],[Type (TX, RX, TRX, Oscillator)]]="Oscillator",I42,#N/A)</f>
        <v>#N/A</v>
      </c>
      <c r="N42" s="1" t="e">
        <f>IF(Table1[[#This Row],[Type (TX, RX, TRX, Oscillator)]]="Relay",I42,#N/A)</f>
        <v>#N/A</v>
      </c>
    </row>
    <row r="43" spans="1:14" x14ac:dyDescent="0.2">
      <c r="A43" s="1">
        <f>Table1[[#This Row],[Frequency (GHz)]]</f>
        <v>265.68</v>
      </c>
      <c r="B43" s="1">
        <f t="shared" si="0"/>
        <v>0.56458897922312556</v>
      </c>
      <c r="C43" s="1">
        <f>IF(ISNUMBER(Table1[[#This Row],[Chip Core Area / Element (mm2)]]),SQRT(Table1[[#This Row],[Chip Core Area / Element (mm2)]]),#N/A)</f>
        <v>3.03315017762062</v>
      </c>
      <c r="D43" s="1" t="e">
        <f>IF(OR(Table1[[#This Row],[Type (TX, RX, TRX, Oscillator)]]="TX", Table1[[#This Row],[Type (TX, RX, TRX, Oscillator)]]="TX FE"),C43,#N/A)</f>
        <v>#N/A</v>
      </c>
      <c r="E43" s="1" t="e">
        <f>IF(OR(Table1[[#This Row],[Type (TX, RX, TRX, Oscillator)]]="RX", Table1[[#This Row],[Type (TX, RX, TRX, Oscillator)]]="RX FE"),C43,#N/A)</f>
        <v>#N/A</v>
      </c>
      <c r="F43" s="1">
        <f>IF(OR(Table1[[#This Row],[Type (TX, RX, TRX, Oscillator)]]="TRX", Table1[[#This Row],[Type (TX, RX, TRX, Oscillator)]]="TRX FE"),C43,#N/A)</f>
        <v>3.03315017762062</v>
      </c>
      <c r="G43" s="1" t="e">
        <f>IF(Table1[[#This Row],[Type (TX, RX, TRX, Oscillator)]]="Oscillator",C43,#N/A)</f>
        <v>#N/A</v>
      </c>
      <c r="H43" s="1" t="e">
        <f>IF(Table1[[#This Row],[Type (TX, RX, TRX, Oscillator)]]="Relay",C43,#N/A)</f>
        <v>#N/A</v>
      </c>
      <c r="I43" s="1" t="e">
        <f>IF(ISNUMBER(Table1[[#This Row],[Array Aperture Area / Element (mm2)]]),SQRT(Table1[[#This Row],[Array Aperture Area / Element (mm2)]]),#N/A)</f>
        <v>#N/A</v>
      </c>
      <c r="J43" s="1" t="e">
        <f>IF(OR(Table1[[#This Row],[Type (TX, RX, TRX, Oscillator)]]="TX",Table1[[#This Row],[Type (TX, RX, TRX, Oscillator)]]="TX FE"),I43,#N/A)</f>
        <v>#N/A</v>
      </c>
      <c r="K43" s="1" t="e">
        <f>IF(OR(Table1[[#This Row],[Type (TX, RX, TRX, Oscillator)]]="RX",Table1[[#This Row],[Type (TX, RX, TRX, Oscillator)]]="RX FE"),I43,#N/A)</f>
        <v>#N/A</v>
      </c>
      <c r="L43" s="1" t="e">
        <f>IF(OR(Table1[[#This Row],[Type (TX, RX, TRX, Oscillator)]]="TRX", Table1[[#This Row],[Type (TX, RX, TRX, Oscillator)]]="TRX FE"),I43,#N/A)</f>
        <v>#N/A</v>
      </c>
      <c r="M43" s="1" t="e">
        <f>IF(Table1[[#This Row],[Type (TX, RX, TRX, Oscillator)]]="Oscillator",I43,#N/A)</f>
        <v>#N/A</v>
      </c>
      <c r="N43" s="1" t="e">
        <f>IF(Table1[[#This Row],[Type (TX, RX, TRX, Oscillator)]]="Relay",I43,#N/A)</f>
        <v>#N/A</v>
      </c>
    </row>
    <row r="44" spans="1:14" x14ac:dyDescent="0.2">
      <c r="A44" s="1">
        <f>Table1[[#This Row],[Frequency (GHz)]]</f>
        <v>24.5</v>
      </c>
      <c r="B44" s="1">
        <f t="shared" si="0"/>
        <v>6.1224489795918364</v>
      </c>
      <c r="C44" s="1">
        <f>IF(ISNUMBER(Table1[[#This Row],[Chip Core Area / Element (mm2)]]),SQRT(Table1[[#This Row],[Chip Core Area / Element (mm2)]]),#N/A)</f>
        <v>1.2409673645990857</v>
      </c>
      <c r="D44" s="1" t="e">
        <f>IF(OR(Table1[[#This Row],[Type (TX, RX, TRX, Oscillator)]]="TX", Table1[[#This Row],[Type (TX, RX, TRX, Oscillator)]]="TX FE"),C44,#N/A)</f>
        <v>#N/A</v>
      </c>
      <c r="E44" s="1">
        <f>IF(OR(Table1[[#This Row],[Type (TX, RX, TRX, Oscillator)]]="RX", Table1[[#This Row],[Type (TX, RX, TRX, Oscillator)]]="RX FE"),C44,#N/A)</f>
        <v>1.2409673645990857</v>
      </c>
      <c r="F44" s="1" t="e">
        <f>IF(OR(Table1[[#This Row],[Type (TX, RX, TRX, Oscillator)]]="TRX", Table1[[#This Row],[Type (TX, RX, TRX, Oscillator)]]="TRX FE"),C44,#N/A)</f>
        <v>#N/A</v>
      </c>
      <c r="G44" s="1" t="e">
        <f>IF(Table1[[#This Row],[Type (TX, RX, TRX, Oscillator)]]="Oscillator",C44,#N/A)</f>
        <v>#N/A</v>
      </c>
      <c r="H44" s="1" t="e">
        <f>IF(Table1[[#This Row],[Type (TX, RX, TRX, Oscillator)]]="Relay",C44,#N/A)</f>
        <v>#N/A</v>
      </c>
      <c r="I44" s="1" t="e">
        <f>IF(ISNUMBER(Table1[[#This Row],[Array Aperture Area / Element (mm2)]]),SQRT(Table1[[#This Row],[Array Aperture Area / Element (mm2)]]),#N/A)</f>
        <v>#N/A</v>
      </c>
      <c r="J44" s="1" t="e">
        <f>IF(OR(Table1[[#This Row],[Type (TX, RX, TRX, Oscillator)]]="TX",Table1[[#This Row],[Type (TX, RX, TRX, Oscillator)]]="TX FE"),I44,#N/A)</f>
        <v>#N/A</v>
      </c>
      <c r="K44" s="1" t="e">
        <f>IF(OR(Table1[[#This Row],[Type (TX, RX, TRX, Oscillator)]]="RX",Table1[[#This Row],[Type (TX, RX, TRX, Oscillator)]]="RX FE"),I44,#N/A)</f>
        <v>#N/A</v>
      </c>
      <c r="L44" s="1" t="e">
        <f>IF(OR(Table1[[#This Row],[Type (TX, RX, TRX, Oscillator)]]="TRX", Table1[[#This Row],[Type (TX, RX, TRX, Oscillator)]]="TRX FE"),I44,#N/A)</f>
        <v>#N/A</v>
      </c>
      <c r="M44" s="1" t="e">
        <f>IF(Table1[[#This Row],[Type (TX, RX, TRX, Oscillator)]]="Oscillator",I44,#N/A)</f>
        <v>#N/A</v>
      </c>
      <c r="N44" s="1" t="e">
        <f>IF(Table1[[#This Row],[Type (TX, RX, TRX, Oscillator)]]="Relay",I44,#N/A)</f>
        <v>#N/A</v>
      </c>
    </row>
    <row r="45" spans="1:14" x14ac:dyDescent="0.2">
      <c r="A45" s="1">
        <f>Table1[[#This Row],[Frequency (GHz)]]</f>
        <v>43</v>
      </c>
      <c r="B45" s="1">
        <f t="shared" si="0"/>
        <v>3.4883720930232558</v>
      </c>
      <c r="C45" s="1">
        <f>IF(ISNUMBER(Table1[[#This Row],[Chip Core Area / Element (mm2)]]),SQRT(Table1[[#This Row],[Chip Core Area / Element (mm2)]]),#N/A)</f>
        <v>1.2409673645990857</v>
      </c>
      <c r="D45" s="1" t="e">
        <f>IF(OR(Table1[[#This Row],[Type (TX, RX, TRX, Oscillator)]]="TX", Table1[[#This Row],[Type (TX, RX, TRX, Oscillator)]]="TX FE"),C45,#N/A)</f>
        <v>#N/A</v>
      </c>
      <c r="E45" s="1">
        <f>IF(OR(Table1[[#This Row],[Type (TX, RX, TRX, Oscillator)]]="RX", Table1[[#This Row],[Type (TX, RX, TRX, Oscillator)]]="RX FE"),C45,#N/A)</f>
        <v>1.2409673645990857</v>
      </c>
      <c r="F45" s="1" t="e">
        <f>IF(OR(Table1[[#This Row],[Type (TX, RX, TRX, Oscillator)]]="TRX", Table1[[#This Row],[Type (TX, RX, TRX, Oscillator)]]="TRX FE"),C45,#N/A)</f>
        <v>#N/A</v>
      </c>
      <c r="G45" s="1" t="e">
        <f>IF(Table1[[#This Row],[Type (TX, RX, TRX, Oscillator)]]="Oscillator",C45,#N/A)</f>
        <v>#N/A</v>
      </c>
      <c r="H45" s="1" t="e">
        <f>IF(Table1[[#This Row],[Type (TX, RX, TRX, Oscillator)]]="Relay",C45,#N/A)</f>
        <v>#N/A</v>
      </c>
      <c r="I45" s="1" t="e">
        <f>IF(ISNUMBER(Table1[[#This Row],[Array Aperture Area / Element (mm2)]]),SQRT(Table1[[#This Row],[Array Aperture Area / Element (mm2)]]),#N/A)</f>
        <v>#N/A</v>
      </c>
      <c r="J45" s="1" t="e">
        <f>IF(OR(Table1[[#This Row],[Type (TX, RX, TRX, Oscillator)]]="TX",Table1[[#This Row],[Type (TX, RX, TRX, Oscillator)]]="TX FE"),I45,#N/A)</f>
        <v>#N/A</v>
      </c>
      <c r="K45" s="1" t="e">
        <f>IF(OR(Table1[[#This Row],[Type (TX, RX, TRX, Oscillator)]]="RX",Table1[[#This Row],[Type (TX, RX, TRX, Oscillator)]]="RX FE"),I45,#N/A)</f>
        <v>#N/A</v>
      </c>
      <c r="L45" s="1" t="e">
        <f>IF(OR(Table1[[#This Row],[Type (TX, RX, TRX, Oscillator)]]="TRX", Table1[[#This Row],[Type (TX, RX, TRX, Oscillator)]]="TRX FE"),I45,#N/A)</f>
        <v>#N/A</v>
      </c>
      <c r="M45" s="1" t="e">
        <f>IF(Table1[[#This Row],[Type (TX, RX, TRX, Oscillator)]]="Oscillator",I45,#N/A)</f>
        <v>#N/A</v>
      </c>
      <c r="N45" s="1" t="e">
        <f>IF(Table1[[#This Row],[Type (TX, RX, TRX, Oscillator)]]="Relay",I45,#N/A)</f>
        <v>#N/A</v>
      </c>
    </row>
    <row r="46" spans="1:14" x14ac:dyDescent="0.2">
      <c r="A46" s="1">
        <f>Table1[[#This Row],[Frequency (GHz)]]</f>
        <v>39</v>
      </c>
      <c r="B46" s="1">
        <f t="shared" si="0"/>
        <v>3.8461538461538463</v>
      </c>
      <c r="C46" s="1">
        <f>IF(ISNUMBER(Table1[[#This Row],[Chip Core Area / Element (mm2)]]),SQRT(Table1[[#This Row],[Chip Core Area / Element (mm2)]]),#N/A)</f>
        <v>1.5779020882171364</v>
      </c>
      <c r="D46" s="1" t="e">
        <f>IF(OR(Table1[[#This Row],[Type (TX, RX, TRX, Oscillator)]]="TX", Table1[[#This Row],[Type (TX, RX, TRX, Oscillator)]]="TX FE"),C46,#N/A)</f>
        <v>#N/A</v>
      </c>
      <c r="E46" s="1" t="e">
        <f>IF(OR(Table1[[#This Row],[Type (TX, RX, TRX, Oscillator)]]="RX", Table1[[#This Row],[Type (TX, RX, TRX, Oscillator)]]="RX FE"),C46,#N/A)</f>
        <v>#N/A</v>
      </c>
      <c r="F46" s="1">
        <f>IF(OR(Table1[[#This Row],[Type (TX, RX, TRX, Oscillator)]]="TRX", Table1[[#This Row],[Type (TX, RX, TRX, Oscillator)]]="TRX FE"),C46,#N/A)</f>
        <v>1.5779020882171364</v>
      </c>
      <c r="G46" s="1" t="e">
        <f>IF(Table1[[#This Row],[Type (TX, RX, TRX, Oscillator)]]="Oscillator",C46,#N/A)</f>
        <v>#N/A</v>
      </c>
      <c r="H46" s="1" t="e">
        <f>IF(Table1[[#This Row],[Type (TX, RX, TRX, Oscillator)]]="Relay",C46,#N/A)</f>
        <v>#N/A</v>
      </c>
      <c r="I46" s="1">
        <f>IF(ISNUMBER(Table1[[#This Row],[Array Aperture Area / Element (mm2)]]),SQRT(Table1[[#This Row],[Array Aperture Area / Element (mm2)]]),#N/A)</f>
        <v>3.876763711525375</v>
      </c>
      <c r="J46" s="1" t="e">
        <f>IF(OR(Table1[[#This Row],[Type (TX, RX, TRX, Oscillator)]]="TX",Table1[[#This Row],[Type (TX, RX, TRX, Oscillator)]]="TX FE"),I46,#N/A)</f>
        <v>#N/A</v>
      </c>
      <c r="K46" s="1" t="e">
        <f>IF(OR(Table1[[#This Row],[Type (TX, RX, TRX, Oscillator)]]="RX",Table1[[#This Row],[Type (TX, RX, TRX, Oscillator)]]="RX FE"),I46,#N/A)</f>
        <v>#N/A</v>
      </c>
      <c r="L46" s="1">
        <f>IF(OR(Table1[[#This Row],[Type (TX, RX, TRX, Oscillator)]]="TRX", Table1[[#This Row],[Type (TX, RX, TRX, Oscillator)]]="TRX FE"),I46,#N/A)</f>
        <v>3.876763711525375</v>
      </c>
      <c r="M46" s="1" t="e">
        <f>IF(Table1[[#This Row],[Type (TX, RX, TRX, Oscillator)]]="Oscillator",I46,#N/A)</f>
        <v>#N/A</v>
      </c>
      <c r="N46" s="1" t="e">
        <f>IF(Table1[[#This Row],[Type (TX, RX, TRX, Oscillator)]]="Relay",I46,#N/A)</f>
        <v>#N/A</v>
      </c>
    </row>
    <row r="47" spans="1:14" x14ac:dyDescent="0.2">
      <c r="A47" s="1">
        <f>Table1[[#This Row],[Frequency (GHz)]]</f>
        <v>90</v>
      </c>
      <c r="B47" s="1">
        <f t="shared" si="0"/>
        <v>1.6666666666666667</v>
      </c>
      <c r="C47" s="1" t="e">
        <f>IF(ISNUMBER(Table1[[#This Row],[Chip Core Area / Element (mm2)]]),SQRT(Table1[[#This Row],[Chip Core Area / Element (mm2)]]),#N/A)</f>
        <v>#N/A</v>
      </c>
      <c r="D47" s="1" t="e">
        <f>IF(OR(Table1[[#This Row],[Type (TX, RX, TRX, Oscillator)]]="TX", Table1[[#This Row],[Type (TX, RX, TRX, Oscillator)]]="TX FE"),C47,#N/A)</f>
        <v>#N/A</v>
      </c>
      <c r="E47" s="1" t="e">
        <f>IF(OR(Table1[[#This Row],[Type (TX, RX, TRX, Oscillator)]]="RX", Table1[[#This Row],[Type (TX, RX, TRX, Oscillator)]]="RX FE"),C47,#N/A)</f>
        <v>#N/A</v>
      </c>
      <c r="F47" s="1" t="e">
        <f>IF(OR(Table1[[#This Row],[Type (TX, RX, TRX, Oscillator)]]="TRX", Table1[[#This Row],[Type (TX, RX, TRX, Oscillator)]]="TRX FE"),C47,#N/A)</f>
        <v>#N/A</v>
      </c>
      <c r="G47" s="1" t="e">
        <f>IF(Table1[[#This Row],[Type (TX, RX, TRX, Oscillator)]]="Oscillator",C47,#N/A)</f>
        <v>#N/A</v>
      </c>
      <c r="H47" s="1" t="e">
        <f>IF(Table1[[#This Row],[Type (TX, RX, TRX, Oscillator)]]="Relay",C47,#N/A)</f>
        <v>#N/A</v>
      </c>
      <c r="I47" s="1" t="e">
        <f>IF(ISNUMBER(Table1[[#This Row],[Array Aperture Area / Element (mm2)]]),SQRT(Table1[[#This Row],[Array Aperture Area / Element (mm2)]]),#N/A)</f>
        <v>#N/A</v>
      </c>
      <c r="J47" s="1" t="e">
        <f>IF(OR(Table1[[#This Row],[Type (TX, RX, TRX, Oscillator)]]="TX",Table1[[#This Row],[Type (TX, RX, TRX, Oscillator)]]="TX FE"),I47,#N/A)</f>
        <v>#N/A</v>
      </c>
      <c r="K47" s="1" t="e">
        <f>IF(OR(Table1[[#This Row],[Type (TX, RX, TRX, Oscillator)]]="RX",Table1[[#This Row],[Type (TX, RX, TRX, Oscillator)]]="RX FE"),I47,#N/A)</f>
        <v>#N/A</v>
      </c>
      <c r="L47" s="1" t="e">
        <f>IF(OR(Table1[[#This Row],[Type (TX, RX, TRX, Oscillator)]]="TRX", Table1[[#This Row],[Type (TX, RX, TRX, Oscillator)]]="TRX FE"),I47,#N/A)</f>
        <v>#N/A</v>
      </c>
      <c r="M47" s="1" t="e">
        <f>IF(Table1[[#This Row],[Type (TX, RX, TRX, Oscillator)]]="Oscillator",I47,#N/A)</f>
        <v>#N/A</v>
      </c>
      <c r="N47" s="1" t="e">
        <f>IF(Table1[[#This Row],[Type (TX, RX, TRX, Oscillator)]]="Relay",I47,#N/A)</f>
        <v>#N/A</v>
      </c>
    </row>
    <row r="48" spans="1:14" x14ac:dyDescent="0.2">
      <c r="A48" s="1">
        <f>Table1[[#This Row],[Frequency (GHz)]]</f>
        <v>420</v>
      </c>
      <c r="B48" s="1">
        <f t="shared" si="0"/>
        <v>0.35714285714285715</v>
      </c>
      <c r="C48" s="1">
        <f>IF(ISNUMBER(Table1[[#This Row],[Chip Core Area / Element (mm2)]]),SQRT(Table1[[#This Row],[Chip Core Area / Element (mm2)]]),#N/A)</f>
        <v>0.53429275682906274</v>
      </c>
      <c r="D48" s="1" t="e">
        <f>IF(OR(Table1[[#This Row],[Type (TX, RX, TRX, Oscillator)]]="TX", Table1[[#This Row],[Type (TX, RX, TRX, Oscillator)]]="TX FE"),C48,#N/A)</f>
        <v>#N/A</v>
      </c>
      <c r="E48" s="1" t="e">
        <f>IF(OR(Table1[[#This Row],[Type (TX, RX, TRX, Oscillator)]]="RX", Table1[[#This Row],[Type (TX, RX, TRX, Oscillator)]]="RX FE"),C48,#N/A)</f>
        <v>#N/A</v>
      </c>
      <c r="F48" s="1" t="e">
        <f>IF(OR(Table1[[#This Row],[Type (TX, RX, TRX, Oscillator)]]="TRX", Table1[[#This Row],[Type (TX, RX, TRX, Oscillator)]]="TRX FE"),C48,#N/A)</f>
        <v>#N/A</v>
      </c>
      <c r="G48" s="1">
        <f>IF(Table1[[#This Row],[Type (TX, RX, TRX, Oscillator)]]="Oscillator",C48,#N/A)</f>
        <v>0.53429275682906274</v>
      </c>
      <c r="H48" s="1" t="e">
        <f>IF(Table1[[#This Row],[Type (TX, RX, TRX, Oscillator)]]="Relay",C48,#N/A)</f>
        <v>#N/A</v>
      </c>
      <c r="I48" s="1" t="e">
        <f>IF(ISNUMBER(Table1[[#This Row],[Array Aperture Area / Element (mm2)]]),SQRT(Table1[[#This Row],[Array Aperture Area / Element (mm2)]]),#N/A)</f>
        <v>#N/A</v>
      </c>
      <c r="J48" s="1" t="e">
        <f>IF(OR(Table1[[#This Row],[Type (TX, RX, TRX, Oscillator)]]="TX",Table1[[#This Row],[Type (TX, RX, TRX, Oscillator)]]="TX FE"),I48,#N/A)</f>
        <v>#N/A</v>
      </c>
      <c r="K48" s="1" t="e">
        <f>IF(OR(Table1[[#This Row],[Type (TX, RX, TRX, Oscillator)]]="RX",Table1[[#This Row],[Type (TX, RX, TRX, Oscillator)]]="RX FE"),I48,#N/A)</f>
        <v>#N/A</v>
      </c>
      <c r="L48" s="1" t="e">
        <f>IF(OR(Table1[[#This Row],[Type (TX, RX, TRX, Oscillator)]]="TRX", Table1[[#This Row],[Type (TX, RX, TRX, Oscillator)]]="TRX FE"),I48,#N/A)</f>
        <v>#N/A</v>
      </c>
      <c r="M48" s="1" t="e">
        <f>IF(Table1[[#This Row],[Type (TX, RX, TRX, Oscillator)]]="Oscillator",I48,#N/A)</f>
        <v>#N/A</v>
      </c>
      <c r="N48" s="1" t="e">
        <f>IF(Table1[[#This Row],[Type (TX, RX, TRX, Oscillator)]]="Relay",I48,#N/A)</f>
        <v>#N/A</v>
      </c>
    </row>
    <row r="49" spans="1:14" x14ac:dyDescent="0.2">
      <c r="A49" s="1">
        <f>Table1[[#This Row],[Frequency (GHz)]]</f>
        <v>586.70000000000005</v>
      </c>
      <c r="B49" s="1">
        <f t="shared" si="0"/>
        <v>0.25566729163115731</v>
      </c>
      <c r="C49" s="1">
        <f>IF(ISNUMBER(Table1[[#This Row],[Chip Core Area / Element (mm2)]]),SQRT(Table1[[#This Row],[Chip Core Area / Element (mm2)]]),#N/A)</f>
        <v>0.19436506316151</v>
      </c>
      <c r="D49" s="1" t="e">
        <f>IF(OR(Table1[[#This Row],[Type (TX, RX, TRX, Oscillator)]]="TX", Table1[[#This Row],[Type (TX, RX, TRX, Oscillator)]]="TX FE"),C49,#N/A)</f>
        <v>#N/A</v>
      </c>
      <c r="E49" s="1" t="e">
        <f>IF(OR(Table1[[#This Row],[Type (TX, RX, TRX, Oscillator)]]="RX", Table1[[#This Row],[Type (TX, RX, TRX, Oscillator)]]="RX FE"),C49,#N/A)</f>
        <v>#N/A</v>
      </c>
      <c r="F49" s="1" t="e">
        <f>IF(OR(Table1[[#This Row],[Type (TX, RX, TRX, Oscillator)]]="TRX", Table1[[#This Row],[Type (TX, RX, TRX, Oscillator)]]="TRX FE"),C49,#N/A)</f>
        <v>#N/A</v>
      </c>
      <c r="G49" s="1">
        <f>IF(Table1[[#This Row],[Type (TX, RX, TRX, Oscillator)]]="Oscillator",C49,#N/A)</f>
        <v>0.19436506316151</v>
      </c>
      <c r="H49" s="1" t="e">
        <f>IF(Table1[[#This Row],[Type (TX, RX, TRX, Oscillator)]]="Relay",C49,#N/A)</f>
        <v>#N/A</v>
      </c>
      <c r="I49" s="1" t="e">
        <f>IF(ISNUMBER(Table1[[#This Row],[Array Aperture Area / Element (mm2)]]),SQRT(Table1[[#This Row],[Array Aperture Area / Element (mm2)]]),#N/A)</f>
        <v>#N/A</v>
      </c>
      <c r="J49" s="1" t="e">
        <f>IF(OR(Table1[[#This Row],[Type (TX, RX, TRX, Oscillator)]]="TX",Table1[[#This Row],[Type (TX, RX, TRX, Oscillator)]]="TX FE"),I49,#N/A)</f>
        <v>#N/A</v>
      </c>
      <c r="K49" s="1" t="e">
        <f>IF(OR(Table1[[#This Row],[Type (TX, RX, TRX, Oscillator)]]="RX",Table1[[#This Row],[Type (TX, RX, TRX, Oscillator)]]="RX FE"),I49,#N/A)</f>
        <v>#N/A</v>
      </c>
      <c r="L49" s="1" t="e">
        <f>IF(OR(Table1[[#This Row],[Type (TX, RX, TRX, Oscillator)]]="TRX", Table1[[#This Row],[Type (TX, RX, TRX, Oscillator)]]="TRX FE"),I49,#N/A)</f>
        <v>#N/A</v>
      </c>
      <c r="M49" s="1" t="e">
        <f>IF(Table1[[#This Row],[Type (TX, RX, TRX, Oscillator)]]="Oscillator",I49,#N/A)</f>
        <v>#N/A</v>
      </c>
      <c r="N49" s="1" t="e">
        <f>IF(Table1[[#This Row],[Type (TX, RX, TRX, Oscillator)]]="Relay",I49,#N/A)</f>
        <v>#N/A</v>
      </c>
    </row>
    <row r="50" spans="1:14" x14ac:dyDescent="0.2">
      <c r="A50" s="1">
        <f>Table1[[#This Row],[Frequency (GHz)]]</f>
        <v>416</v>
      </c>
      <c r="B50" s="1">
        <f t="shared" si="0"/>
        <v>0.36057692307692307</v>
      </c>
      <c r="C50" s="1">
        <f>IF(ISNUMBER(Table1[[#This Row],[Chip Core Area / Element (mm2)]]),SQRT(Table1[[#This Row],[Chip Core Area / Element (mm2)]]),#N/A)</f>
        <v>0.51441714590398324</v>
      </c>
      <c r="D50" s="1" t="e">
        <f>IF(OR(Table1[[#This Row],[Type (TX, RX, TRX, Oscillator)]]="TX", Table1[[#This Row],[Type (TX, RX, TRX, Oscillator)]]="TX FE"),C50,#N/A)</f>
        <v>#N/A</v>
      </c>
      <c r="E50" s="1" t="e">
        <f>IF(OR(Table1[[#This Row],[Type (TX, RX, TRX, Oscillator)]]="RX", Table1[[#This Row],[Type (TX, RX, TRX, Oscillator)]]="RX FE"),C50,#N/A)</f>
        <v>#N/A</v>
      </c>
      <c r="F50" s="1" t="e">
        <f>IF(OR(Table1[[#This Row],[Type (TX, RX, TRX, Oscillator)]]="TRX", Table1[[#This Row],[Type (TX, RX, TRX, Oscillator)]]="TRX FE"),C50,#N/A)</f>
        <v>#N/A</v>
      </c>
      <c r="G50" s="1">
        <f>IF(Table1[[#This Row],[Type (TX, RX, TRX, Oscillator)]]="Oscillator",C50,#N/A)</f>
        <v>0.51441714590398324</v>
      </c>
      <c r="H50" s="1" t="e">
        <f>IF(Table1[[#This Row],[Type (TX, RX, TRX, Oscillator)]]="Relay",C50,#N/A)</f>
        <v>#N/A</v>
      </c>
      <c r="I50" s="1" t="e">
        <f>IF(ISNUMBER(Table1[[#This Row],[Array Aperture Area / Element (mm2)]]),SQRT(Table1[[#This Row],[Array Aperture Area / Element (mm2)]]),#N/A)</f>
        <v>#N/A</v>
      </c>
      <c r="J50" s="1" t="e">
        <f>IF(OR(Table1[[#This Row],[Type (TX, RX, TRX, Oscillator)]]="TX",Table1[[#This Row],[Type (TX, RX, TRX, Oscillator)]]="TX FE"),I50,#N/A)</f>
        <v>#N/A</v>
      </c>
      <c r="K50" s="1" t="e">
        <f>IF(OR(Table1[[#This Row],[Type (TX, RX, TRX, Oscillator)]]="RX",Table1[[#This Row],[Type (TX, RX, TRX, Oscillator)]]="RX FE"),I50,#N/A)</f>
        <v>#N/A</v>
      </c>
      <c r="L50" s="1" t="e">
        <f>IF(OR(Table1[[#This Row],[Type (TX, RX, TRX, Oscillator)]]="TRX", Table1[[#This Row],[Type (TX, RX, TRX, Oscillator)]]="TRX FE"),I50,#N/A)</f>
        <v>#N/A</v>
      </c>
      <c r="M50" s="1" t="e">
        <f>IF(Table1[[#This Row],[Type (TX, RX, TRX, Oscillator)]]="Oscillator",I50,#N/A)</f>
        <v>#N/A</v>
      </c>
      <c r="N50" s="1" t="e">
        <f>IF(Table1[[#This Row],[Type (TX, RX, TRX, Oscillator)]]="Relay",I50,#N/A)</f>
        <v>#N/A</v>
      </c>
    </row>
    <row r="51" spans="1:14" x14ac:dyDescent="0.2">
      <c r="A51" s="1">
        <f>Table1[[#This Row],[Frequency (GHz)]]</f>
        <v>490</v>
      </c>
      <c r="B51" s="1">
        <f t="shared" si="0"/>
        <v>0.30612244897959184</v>
      </c>
      <c r="C51" s="1">
        <f>IF(ISNUMBER(Table1[[#This Row],[Chip Core Area / Element (mm2)]]),SQRT(Table1[[#This Row],[Chip Core Area / Element (mm2)]]),#N/A)</f>
        <v>1.4943225890014513</v>
      </c>
      <c r="D51" s="1" t="e">
        <f>IF(OR(Table1[[#This Row],[Type (TX, RX, TRX, Oscillator)]]="TX", Table1[[#This Row],[Type (TX, RX, TRX, Oscillator)]]="TX FE"),C51,#N/A)</f>
        <v>#N/A</v>
      </c>
      <c r="E51" s="1" t="e">
        <f>IF(OR(Table1[[#This Row],[Type (TX, RX, TRX, Oscillator)]]="RX", Table1[[#This Row],[Type (TX, RX, TRX, Oscillator)]]="RX FE"),C51,#N/A)</f>
        <v>#N/A</v>
      </c>
      <c r="F51" s="1" t="e">
        <f>IF(OR(Table1[[#This Row],[Type (TX, RX, TRX, Oscillator)]]="TRX", Table1[[#This Row],[Type (TX, RX, TRX, Oscillator)]]="TRX FE"),C51,#N/A)</f>
        <v>#N/A</v>
      </c>
      <c r="G51" s="1">
        <f>IF(Table1[[#This Row],[Type (TX, RX, TRX, Oscillator)]]="Oscillator",C51,#N/A)</f>
        <v>1.4943225890014513</v>
      </c>
      <c r="H51" s="1" t="e">
        <f>IF(Table1[[#This Row],[Type (TX, RX, TRX, Oscillator)]]="Relay",C51,#N/A)</f>
        <v>#N/A</v>
      </c>
      <c r="I51" s="1" t="e">
        <f>IF(ISNUMBER(Table1[[#This Row],[Array Aperture Area / Element (mm2)]]),SQRT(Table1[[#This Row],[Array Aperture Area / Element (mm2)]]),#N/A)</f>
        <v>#N/A</v>
      </c>
      <c r="J51" s="1" t="e">
        <f>IF(OR(Table1[[#This Row],[Type (TX, RX, TRX, Oscillator)]]="TX",Table1[[#This Row],[Type (TX, RX, TRX, Oscillator)]]="TX FE"),I51,#N/A)</f>
        <v>#N/A</v>
      </c>
      <c r="K51" s="1" t="e">
        <f>IF(OR(Table1[[#This Row],[Type (TX, RX, TRX, Oscillator)]]="RX",Table1[[#This Row],[Type (TX, RX, TRX, Oscillator)]]="RX FE"),I51,#N/A)</f>
        <v>#N/A</v>
      </c>
      <c r="L51" s="1" t="e">
        <f>IF(OR(Table1[[#This Row],[Type (TX, RX, TRX, Oscillator)]]="TRX", Table1[[#This Row],[Type (TX, RX, TRX, Oscillator)]]="TRX FE"),I51,#N/A)</f>
        <v>#N/A</v>
      </c>
      <c r="M51" s="1" t="e">
        <f>IF(Table1[[#This Row],[Type (TX, RX, TRX, Oscillator)]]="Oscillator",I51,#N/A)</f>
        <v>#N/A</v>
      </c>
      <c r="N51" s="1" t="e">
        <f>IF(Table1[[#This Row],[Type (TX, RX, TRX, Oscillator)]]="Relay",I51,#N/A)</f>
        <v>#N/A</v>
      </c>
    </row>
    <row r="52" spans="1:14" x14ac:dyDescent="0.2">
      <c r="A52" s="1">
        <f>Table1[[#This Row],[Frequency (GHz)]]</f>
        <v>670</v>
      </c>
      <c r="B52" s="1">
        <f t="shared" si="0"/>
        <v>0.22388059701492538</v>
      </c>
      <c r="C52" s="1">
        <f>IF(ISNUMBER(Table1[[#This Row],[Chip Core Area / Element (mm2)]]),SQRT(Table1[[#This Row],[Chip Core Area / Element (mm2)]]),#N/A)</f>
        <v>0.28284271247461906</v>
      </c>
      <c r="D52" s="1" t="e">
        <f>IF(OR(Table1[[#This Row],[Type (TX, RX, TRX, Oscillator)]]="TX", Table1[[#This Row],[Type (TX, RX, TRX, Oscillator)]]="TX FE"),C52,#N/A)</f>
        <v>#N/A</v>
      </c>
      <c r="E52" s="1" t="e">
        <f>IF(OR(Table1[[#This Row],[Type (TX, RX, TRX, Oscillator)]]="RX", Table1[[#This Row],[Type (TX, RX, TRX, Oscillator)]]="RX FE"),C52,#N/A)</f>
        <v>#N/A</v>
      </c>
      <c r="F52" s="1" t="e">
        <f>IF(OR(Table1[[#This Row],[Type (TX, RX, TRX, Oscillator)]]="TRX", Table1[[#This Row],[Type (TX, RX, TRX, Oscillator)]]="TRX FE"),C52,#N/A)</f>
        <v>#N/A</v>
      </c>
      <c r="G52" s="1">
        <f>IF(Table1[[#This Row],[Type (TX, RX, TRX, Oscillator)]]="Oscillator",C52,#N/A)</f>
        <v>0.28284271247461906</v>
      </c>
      <c r="H52" s="1" t="e">
        <f>IF(Table1[[#This Row],[Type (TX, RX, TRX, Oscillator)]]="Relay",C52,#N/A)</f>
        <v>#N/A</v>
      </c>
      <c r="I52" s="1" t="e">
        <f>IF(ISNUMBER(Table1[[#This Row],[Array Aperture Area / Element (mm2)]]),SQRT(Table1[[#This Row],[Array Aperture Area / Element (mm2)]]),#N/A)</f>
        <v>#N/A</v>
      </c>
      <c r="J52" s="1" t="e">
        <f>IF(OR(Table1[[#This Row],[Type (TX, RX, TRX, Oscillator)]]="TX",Table1[[#This Row],[Type (TX, RX, TRX, Oscillator)]]="TX FE"),I52,#N/A)</f>
        <v>#N/A</v>
      </c>
      <c r="K52" s="1" t="e">
        <f>IF(OR(Table1[[#This Row],[Type (TX, RX, TRX, Oscillator)]]="RX",Table1[[#This Row],[Type (TX, RX, TRX, Oscillator)]]="RX FE"),I52,#N/A)</f>
        <v>#N/A</v>
      </c>
      <c r="L52" s="1" t="e">
        <f>IF(OR(Table1[[#This Row],[Type (TX, RX, TRX, Oscillator)]]="TRX", Table1[[#This Row],[Type (TX, RX, TRX, Oscillator)]]="TRX FE"),I52,#N/A)</f>
        <v>#N/A</v>
      </c>
      <c r="M52" s="1" t="e">
        <f>IF(Table1[[#This Row],[Type (TX, RX, TRX, Oscillator)]]="Oscillator",I52,#N/A)</f>
        <v>#N/A</v>
      </c>
      <c r="N52" s="1" t="e">
        <f>IF(Table1[[#This Row],[Type (TX, RX, TRX, Oscillator)]]="Relay",I52,#N/A)</f>
        <v>#N/A</v>
      </c>
    </row>
    <row r="53" spans="1:14" x14ac:dyDescent="0.2">
      <c r="A53" s="1">
        <f>Table1[[#This Row],[Frequency (GHz)]]</f>
        <v>75</v>
      </c>
      <c r="B53" s="1">
        <f t="shared" si="0"/>
        <v>2</v>
      </c>
      <c r="C53" s="1">
        <f>IF(ISNUMBER(Table1[[#This Row],[Chip Core Area / Element (mm2)]]),SQRT(Table1[[#This Row],[Chip Core Area / Element (mm2)]]),#N/A)</f>
        <v>1.6877499814842245</v>
      </c>
      <c r="D53" s="1" t="e">
        <f>IF(OR(Table1[[#This Row],[Type (TX, RX, TRX, Oscillator)]]="TX", Table1[[#This Row],[Type (TX, RX, TRX, Oscillator)]]="TX FE"),C53,#N/A)</f>
        <v>#N/A</v>
      </c>
      <c r="E53" s="1" t="e">
        <f>IF(OR(Table1[[#This Row],[Type (TX, RX, TRX, Oscillator)]]="RX", Table1[[#This Row],[Type (TX, RX, TRX, Oscillator)]]="RX FE"),C53,#N/A)</f>
        <v>#N/A</v>
      </c>
      <c r="F53" s="1">
        <f>IF(OR(Table1[[#This Row],[Type (TX, RX, TRX, Oscillator)]]="TRX", Table1[[#This Row],[Type (TX, RX, TRX, Oscillator)]]="TRX FE"),C53,#N/A)</f>
        <v>1.6877499814842245</v>
      </c>
      <c r="G53" s="1" t="e">
        <f>IF(Table1[[#This Row],[Type (TX, RX, TRX, Oscillator)]]="Oscillator",C53,#N/A)</f>
        <v>#N/A</v>
      </c>
      <c r="H53" s="1" t="e">
        <f>IF(Table1[[#This Row],[Type (TX, RX, TRX, Oscillator)]]="Relay",C53,#N/A)</f>
        <v>#N/A</v>
      </c>
      <c r="I53" s="1">
        <f>IF(ISNUMBER(Table1[[#This Row],[Array Aperture Area / Element (mm2)]]),SQRT(Table1[[#This Row],[Array Aperture Area / Element (mm2)]]),#N/A)</f>
        <v>2.2590097388014954</v>
      </c>
      <c r="J53" s="1" t="e">
        <f>IF(OR(Table1[[#This Row],[Type (TX, RX, TRX, Oscillator)]]="TX",Table1[[#This Row],[Type (TX, RX, TRX, Oscillator)]]="TX FE"),I53,#N/A)</f>
        <v>#N/A</v>
      </c>
      <c r="K53" s="1" t="e">
        <f>IF(OR(Table1[[#This Row],[Type (TX, RX, TRX, Oscillator)]]="RX",Table1[[#This Row],[Type (TX, RX, TRX, Oscillator)]]="RX FE"),I53,#N/A)</f>
        <v>#N/A</v>
      </c>
      <c r="L53" s="1">
        <f>IF(OR(Table1[[#This Row],[Type (TX, RX, TRX, Oscillator)]]="TRX", Table1[[#This Row],[Type (TX, RX, TRX, Oscillator)]]="TRX FE"),I53,#N/A)</f>
        <v>2.2590097388014954</v>
      </c>
      <c r="M53" s="1" t="e">
        <f>IF(Table1[[#This Row],[Type (TX, RX, TRX, Oscillator)]]="Oscillator",I53,#N/A)</f>
        <v>#N/A</v>
      </c>
      <c r="N53" s="1" t="e">
        <f>IF(Table1[[#This Row],[Type (TX, RX, TRX, Oscillator)]]="Relay",I53,#N/A)</f>
        <v>#N/A</v>
      </c>
    </row>
    <row r="54" spans="1:14" x14ac:dyDescent="0.2">
      <c r="A54" s="1">
        <f>Table1[[#This Row],[Frequency (GHz)]]</f>
        <v>135</v>
      </c>
      <c r="B54" s="1">
        <f t="shared" si="0"/>
        <v>1.1111111111111112</v>
      </c>
      <c r="C54" s="1">
        <f>IF(ISNUMBER(Table1[[#This Row],[Chip Core Area / Element (mm2)]]),SQRT(Table1[[#This Row],[Chip Core Area / Element (mm2)]]),#N/A)</f>
        <v>2.9827839345148686</v>
      </c>
      <c r="D54" s="1" t="e">
        <f>IF(OR(Table1[[#This Row],[Type (TX, RX, TRX, Oscillator)]]="TX", Table1[[#This Row],[Type (TX, RX, TRX, Oscillator)]]="TX FE"),C54,#N/A)</f>
        <v>#N/A</v>
      </c>
      <c r="E54" s="1" t="e">
        <f>IF(OR(Table1[[#This Row],[Type (TX, RX, TRX, Oscillator)]]="RX", Table1[[#This Row],[Type (TX, RX, TRX, Oscillator)]]="RX FE"),C54,#N/A)</f>
        <v>#N/A</v>
      </c>
      <c r="F54" s="1">
        <f>IF(OR(Table1[[#This Row],[Type (TX, RX, TRX, Oscillator)]]="TRX", Table1[[#This Row],[Type (TX, RX, TRX, Oscillator)]]="TRX FE"),C54,#N/A)</f>
        <v>2.9827839345148686</v>
      </c>
      <c r="G54" s="1" t="e">
        <f>IF(Table1[[#This Row],[Type (TX, RX, TRX, Oscillator)]]="Oscillator",C54,#N/A)</f>
        <v>#N/A</v>
      </c>
      <c r="H54" s="1" t="e">
        <f>IF(Table1[[#This Row],[Type (TX, RX, TRX, Oscillator)]]="Relay",C54,#N/A)</f>
        <v>#N/A</v>
      </c>
      <c r="I54" s="1" t="e">
        <f>IF(ISNUMBER(Table1[[#This Row],[Array Aperture Area / Element (mm2)]]),SQRT(Table1[[#This Row],[Array Aperture Area / Element (mm2)]]),#N/A)</f>
        <v>#N/A</v>
      </c>
      <c r="J54" s="1" t="e">
        <f>IF(OR(Table1[[#This Row],[Type (TX, RX, TRX, Oscillator)]]="TX",Table1[[#This Row],[Type (TX, RX, TRX, Oscillator)]]="TX FE"),I54,#N/A)</f>
        <v>#N/A</v>
      </c>
      <c r="K54" s="1" t="e">
        <f>IF(OR(Table1[[#This Row],[Type (TX, RX, TRX, Oscillator)]]="RX",Table1[[#This Row],[Type (TX, RX, TRX, Oscillator)]]="RX FE"),I54,#N/A)</f>
        <v>#N/A</v>
      </c>
      <c r="L54" s="1" t="e">
        <f>IF(OR(Table1[[#This Row],[Type (TX, RX, TRX, Oscillator)]]="TRX", Table1[[#This Row],[Type (TX, RX, TRX, Oscillator)]]="TRX FE"),I54,#N/A)</f>
        <v>#N/A</v>
      </c>
      <c r="M54" s="1" t="e">
        <f>IF(Table1[[#This Row],[Type (TX, RX, TRX, Oscillator)]]="Oscillator",I54,#N/A)</f>
        <v>#N/A</v>
      </c>
      <c r="N54" s="1" t="e">
        <f>IF(Table1[[#This Row],[Type (TX, RX, TRX, Oscillator)]]="Relay",I54,#N/A)</f>
        <v>#N/A</v>
      </c>
    </row>
    <row r="55" spans="1:14" x14ac:dyDescent="0.2">
      <c r="A55" s="1">
        <f>Table1[[#This Row],[Frequency (GHz)]]</f>
        <v>150</v>
      </c>
      <c r="B55" s="1">
        <f t="shared" si="0"/>
        <v>1</v>
      </c>
      <c r="C55" s="1">
        <f>IF(ISNUMBER(Table1[[#This Row],[Chip Core Area / Element (mm2)]]),SQRT(Table1[[#This Row],[Chip Core Area / Element (mm2)]]),#N/A)</f>
        <v>2.9827839345148686</v>
      </c>
      <c r="D55" s="1" t="e">
        <f>IF(OR(Table1[[#This Row],[Type (TX, RX, TRX, Oscillator)]]="TX", Table1[[#This Row],[Type (TX, RX, TRX, Oscillator)]]="TX FE"),C55,#N/A)</f>
        <v>#N/A</v>
      </c>
      <c r="E55" s="1" t="e">
        <f>IF(OR(Table1[[#This Row],[Type (TX, RX, TRX, Oscillator)]]="RX", Table1[[#This Row],[Type (TX, RX, TRX, Oscillator)]]="RX FE"),C55,#N/A)</f>
        <v>#N/A</v>
      </c>
      <c r="F55" s="1">
        <f>IF(OR(Table1[[#This Row],[Type (TX, RX, TRX, Oscillator)]]="TRX", Table1[[#This Row],[Type (TX, RX, TRX, Oscillator)]]="TRX FE"),C55,#N/A)</f>
        <v>2.9827839345148686</v>
      </c>
      <c r="G55" s="1" t="e">
        <f>IF(Table1[[#This Row],[Type (TX, RX, TRX, Oscillator)]]="Oscillator",C55,#N/A)</f>
        <v>#N/A</v>
      </c>
      <c r="H55" s="1" t="e">
        <f>IF(Table1[[#This Row],[Type (TX, RX, TRX, Oscillator)]]="Relay",C55,#N/A)</f>
        <v>#N/A</v>
      </c>
      <c r="I55" s="1" t="e">
        <f>IF(ISNUMBER(Table1[[#This Row],[Array Aperture Area / Element (mm2)]]),SQRT(Table1[[#This Row],[Array Aperture Area / Element (mm2)]]),#N/A)</f>
        <v>#N/A</v>
      </c>
      <c r="J55" s="1" t="e">
        <f>IF(OR(Table1[[#This Row],[Type (TX, RX, TRX, Oscillator)]]="TX",Table1[[#This Row],[Type (TX, RX, TRX, Oscillator)]]="TX FE"),I55,#N/A)</f>
        <v>#N/A</v>
      </c>
      <c r="K55" s="1" t="e">
        <f>IF(OR(Table1[[#This Row],[Type (TX, RX, TRX, Oscillator)]]="RX",Table1[[#This Row],[Type (TX, RX, TRX, Oscillator)]]="RX FE"),I55,#N/A)</f>
        <v>#N/A</v>
      </c>
      <c r="L55" s="1" t="e">
        <f>IF(OR(Table1[[#This Row],[Type (TX, RX, TRX, Oscillator)]]="TRX", Table1[[#This Row],[Type (TX, RX, TRX, Oscillator)]]="TRX FE"),I55,#N/A)</f>
        <v>#N/A</v>
      </c>
      <c r="M55" s="1" t="e">
        <f>IF(Table1[[#This Row],[Type (TX, RX, TRX, Oscillator)]]="Oscillator",I55,#N/A)</f>
        <v>#N/A</v>
      </c>
      <c r="N55" s="1" t="e">
        <f>IF(Table1[[#This Row],[Type (TX, RX, TRX, Oscillator)]]="Relay",I55,#N/A)</f>
        <v>#N/A</v>
      </c>
    </row>
    <row r="56" spans="1:14" x14ac:dyDescent="0.2">
      <c r="A56" s="1">
        <f>Table1[[#This Row],[Frequency (GHz)]]</f>
        <v>500</v>
      </c>
      <c r="B56" s="1">
        <f t="shared" si="0"/>
        <v>0.3</v>
      </c>
      <c r="C56" s="1">
        <f>IF(ISNUMBER(Table1[[#This Row],[Chip Core Area / Element (mm2)]]),SQRT(Table1[[#This Row],[Chip Core Area / Element (mm2)]]),#N/A)</f>
        <v>0.70936591403872795</v>
      </c>
      <c r="D56" s="1" t="e">
        <f>IF(OR(Table1[[#This Row],[Type (TX, RX, TRX, Oscillator)]]="TX", Table1[[#This Row],[Type (TX, RX, TRX, Oscillator)]]="TX FE"),C56,#N/A)</f>
        <v>#N/A</v>
      </c>
      <c r="E56" s="1">
        <f>IF(OR(Table1[[#This Row],[Type (TX, RX, TRX, Oscillator)]]="RX", Table1[[#This Row],[Type (TX, RX, TRX, Oscillator)]]="RX FE"),C56,#N/A)</f>
        <v>0.70936591403872795</v>
      </c>
      <c r="F56" s="1" t="e">
        <f>IF(OR(Table1[[#This Row],[Type (TX, RX, TRX, Oscillator)]]="TRX", Table1[[#This Row],[Type (TX, RX, TRX, Oscillator)]]="TRX FE"),C56,#N/A)</f>
        <v>#N/A</v>
      </c>
      <c r="G56" s="1" t="e">
        <f>IF(Table1[[#This Row],[Type (TX, RX, TRX, Oscillator)]]="Oscillator",C56,#N/A)</f>
        <v>#N/A</v>
      </c>
      <c r="H56" s="1" t="e">
        <f>IF(Table1[[#This Row],[Type (TX, RX, TRX, Oscillator)]]="Relay",C56,#N/A)</f>
        <v>#N/A</v>
      </c>
      <c r="I56" s="1" t="e">
        <f>IF(ISNUMBER(Table1[[#This Row],[Array Aperture Area / Element (mm2)]]),SQRT(Table1[[#This Row],[Array Aperture Area / Element (mm2)]]),#N/A)</f>
        <v>#N/A</v>
      </c>
      <c r="J56" s="1" t="e">
        <f>IF(OR(Table1[[#This Row],[Type (TX, RX, TRX, Oscillator)]]="TX",Table1[[#This Row],[Type (TX, RX, TRX, Oscillator)]]="TX FE"),I56,#N/A)</f>
        <v>#N/A</v>
      </c>
      <c r="K56" s="1" t="e">
        <f>IF(OR(Table1[[#This Row],[Type (TX, RX, TRX, Oscillator)]]="RX",Table1[[#This Row],[Type (TX, RX, TRX, Oscillator)]]="RX FE"),I56,#N/A)</f>
        <v>#N/A</v>
      </c>
      <c r="L56" s="1" t="e">
        <f>IF(OR(Table1[[#This Row],[Type (TX, RX, TRX, Oscillator)]]="TRX", Table1[[#This Row],[Type (TX, RX, TRX, Oscillator)]]="TRX FE"),I56,#N/A)</f>
        <v>#N/A</v>
      </c>
      <c r="M56" s="1" t="e">
        <f>IF(Table1[[#This Row],[Type (TX, RX, TRX, Oscillator)]]="Oscillator",I56,#N/A)</f>
        <v>#N/A</v>
      </c>
      <c r="N56" s="1" t="e">
        <f>IF(Table1[[#This Row],[Type (TX, RX, TRX, Oscillator)]]="Relay",I56,#N/A)</f>
        <v>#N/A</v>
      </c>
    </row>
    <row r="57" spans="1:14" x14ac:dyDescent="0.2">
      <c r="A57" s="1">
        <f>Table1[[#This Row],[Frequency (GHz)]]</f>
        <v>390</v>
      </c>
      <c r="B57" s="1">
        <f t="shared" si="0"/>
        <v>0.38461538461538464</v>
      </c>
      <c r="C57" s="1">
        <f>IF(ISNUMBER(Table1[[#This Row],[Chip Core Area / Element (mm2)]]),SQRT(Table1[[#This Row],[Chip Core Area / Element (mm2)]]),#N/A)</f>
        <v>0.34205262752974142</v>
      </c>
      <c r="D57" s="1">
        <f>IF(OR(Table1[[#This Row],[Type (TX, RX, TRX, Oscillator)]]="TX", Table1[[#This Row],[Type (TX, RX, TRX, Oscillator)]]="TX FE"),C57,#N/A)</f>
        <v>0.34205262752974142</v>
      </c>
      <c r="E57" s="1" t="e">
        <f>IF(OR(Table1[[#This Row],[Type (TX, RX, TRX, Oscillator)]]="RX", Table1[[#This Row],[Type (TX, RX, TRX, Oscillator)]]="RX FE"),C57,#N/A)</f>
        <v>#N/A</v>
      </c>
      <c r="F57" s="1" t="e">
        <f>IF(OR(Table1[[#This Row],[Type (TX, RX, TRX, Oscillator)]]="TRX", Table1[[#This Row],[Type (TX, RX, TRX, Oscillator)]]="TRX FE"),C57,#N/A)</f>
        <v>#N/A</v>
      </c>
      <c r="G57" s="1" t="e">
        <f>IF(Table1[[#This Row],[Type (TX, RX, TRX, Oscillator)]]="Oscillator",C57,#N/A)</f>
        <v>#N/A</v>
      </c>
      <c r="H57" s="1" t="e">
        <f>IF(Table1[[#This Row],[Type (TX, RX, TRX, Oscillator)]]="Relay",C57,#N/A)</f>
        <v>#N/A</v>
      </c>
      <c r="I57" s="1" t="e">
        <f>IF(ISNUMBER(Table1[[#This Row],[Array Aperture Area / Element (mm2)]]),SQRT(Table1[[#This Row],[Array Aperture Area / Element (mm2)]]),#N/A)</f>
        <v>#N/A</v>
      </c>
      <c r="J57" s="1" t="e">
        <f>IF(OR(Table1[[#This Row],[Type (TX, RX, TRX, Oscillator)]]="TX",Table1[[#This Row],[Type (TX, RX, TRX, Oscillator)]]="TX FE"),I57,#N/A)</f>
        <v>#N/A</v>
      </c>
      <c r="K57" s="1" t="e">
        <f>IF(OR(Table1[[#This Row],[Type (TX, RX, TRX, Oscillator)]]="RX",Table1[[#This Row],[Type (TX, RX, TRX, Oscillator)]]="RX FE"),I57,#N/A)</f>
        <v>#N/A</v>
      </c>
      <c r="L57" s="1" t="e">
        <f>IF(OR(Table1[[#This Row],[Type (TX, RX, TRX, Oscillator)]]="TRX", Table1[[#This Row],[Type (TX, RX, TRX, Oscillator)]]="TRX FE"),I57,#N/A)</f>
        <v>#N/A</v>
      </c>
      <c r="M57" s="1" t="e">
        <f>IF(Table1[[#This Row],[Type (TX, RX, TRX, Oscillator)]]="Oscillator",I57,#N/A)</f>
        <v>#N/A</v>
      </c>
      <c r="N57" s="1" t="e">
        <f>IF(Table1[[#This Row],[Type (TX, RX, TRX, Oscillator)]]="Relay",I57,#N/A)</f>
        <v>#N/A</v>
      </c>
    </row>
    <row r="58" spans="1:14" x14ac:dyDescent="0.2">
      <c r="A58" s="1">
        <f>Table1[[#This Row],[Frequency (GHz)]]</f>
        <v>140</v>
      </c>
      <c r="B58" s="1">
        <f t="shared" si="0"/>
        <v>1.0714285714285714</v>
      </c>
      <c r="C58" s="1">
        <f>IF(ISNUMBER(Table1[[#This Row],[Chip Core Area / Element (mm2)]]),SQRT(Table1[[#This Row],[Chip Core Area / Element (mm2)]]),#N/A)</f>
        <v>1.4198591479439078</v>
      </c>
      <c r="D58" s="1">
        <f>IF(OR(Table1[[#This Row],[Type (TX, RX, TRX, Oscillator)]]="TX", Table1[[#This Row],[Type (TX, RX, TRX, Oscillator)]]="TX FE"),C58,#N/A)</f>
        <v>1.4198591479439078</v>
      </c>
      <c r="E58" s="1" t="e">
        <f>IF(OR(Table1[[#This Row],[Type (TX, RX, TRX, Oscillator)]]="RX", Table1[[#This Row],[Type (TX, RX, TRX, Oscillator)]]="RX FE"),C58,#N/A)</f>
        <v>#N/A</v>
      </c>
      <c r="F58" s="1" t="e">
        <f>IF(OR(Table1[[#This Row],[Type (TX, RX, TRX, Oscillator)]]="TRX", Table1[[#This Row],[Type (TX, RX, TRX, Oscillator)]]="TRX FE"),C58,#N/A)</f>
        <v>#N/A</v>
      </c>
      <c r="G58" s="1" t="e">
        <f>IF(Table1[[#This Row],[Type (TX, RX, TRX, Oscillator)]]="Oscillator",C58,#N/A)</f>
        <v>#N/A</v>
      </c>
      <c r="H58" s="1" t="e">
        <f>IF(Table1[[#This Row],[Type (TX, RX, TRX, Oscillator)]]="Relay",C58,#N/A)</f>
        <v>#N/A</v>
      </c>
      <c r="I58" s="1" t="e">
        <f>IF(ISNUMBER(Table1[[#This Row],[Array Aperture Area / Element (mm2)]]),SQRT(Table1[[#This Row],[Array Aperture Area / Element (mm2)]]),#N/A)</f>
        <v>#N/A</v>
      </c>
      <c r="J58" s="1" t="e">
        <f>IF(OR(Table1[[#This Row],[Type (TX, RX, TRX, Oscillator)]]="TX",Table1[[#This Row],[Type (TX, RX, TRX, Oscillator)]]="TX FE"),I58,#N/A)</f>
        <v>#N/A</v>
      </c>
      <c r="K58" s="1" t="e">
        <f>IF(OR(Table1[[#This Row],[Type (TX, RX, TRX, Oscillator)]]="RX",Table1[[#This Row],[Type (TX, RX, TRX, Oscillator)]]="RX FE"),I58,#N/A)</f>
        <v>#N/A</v>
      </c>
      <c r="L58" s="1" t="e">
        <f>IF(OR(Table1[[#This Row],[Type (TX, RX, TRX, Oscillator)]]="TRX", Table1[[#This Row],[Type (TX, RX, TRX, Oscillator)]]="TRX FE"),I58,#N/A)</f>
        <v>#N/A</v>
      </c>
      <c r="M58" s="1" t="e">
        <f>IF(Table1[[#This Row],[Type (TX, RX, TRX, Oscillator)]]="Oscillator",I58,#N/A)</f>
        <v>#N/A</v>
      </c>
      <c r="N58" s="1" t="e">
        <f>IF(Table1[[#This Row],[Type (TX, RX, TRX, Oscillator)]]="Relay",I58,#N/A)</f>
        <v>#N/A</v>
      </c>
    </row>
    <row r="59" spans="1:14" x14ac:dyDescent="0.2">
      <c r="A59" s="1">
        <f>Table1[[#This Row],[Frequency (GHz)]]</f>
        <v>150</v>
      </c>
      <c r="B59" s="1">
        <f t="shared" si="0"/>
        <v>1</v>
      </c>
      <c r="C59" s="1">
        <f>IF(ISNUMBER(Table1[[#This Row],[Chip Core Area / Element (mm2)]]),SQRT(Table1[[#This Row],[Chip Core Area / Element (mm2)]]),#N/A)</f>
        <v>1.4</v>
      </c>
      <c r="D59" s="1" t="e">
        <f>IF(OR(Table1[[#This Row],[Type (TX, RX, TRX, Oscillator)]]="TX", Table1[[#This Row],[Type (TX, RX, TRX, Oscillator)]]="TX FE"),C59,#N/A)</f>
        <v>#N/A</v>
      </c>
      <c r="E59" s="1">
        <f>IF(OR(Table1[[#This Row],[Type (TX, RX, TRX, Oscillator)]]="RX", Table1[[#This Row],[Type (TX, RX, TRX, Oscillator)]]="RX FE"),C59,#N/A)</f>
        <v>1.4</v>
      </c>
      <c r="F59" s="1" t="e">
        <f>IF(OR(Table1[[#This Row],[Type (TX, RX, TRX, Oscillator)]]="TRX", Table1[[#This Row],[Type (TX, RX, TRX, Oscillator)]]="TRX FE"),C59,#N/A)</f>
        <v>#N/A</v>
      </c>
      <c r="G59" s="1" t="e">
        <f>IF(Table1[[#This Row],[Type (TX, RX, TRX, Oscillator)]]="Oscillator",C59,#N/A)</f>
        <v>#N/A</v>
      </c>
      <c r="H59" s="1" t="e">
        <f>IF(Table1[[#This Row],[Type (TX, RX, TRX, Oscillator)]]="Relay",C59,#N/A)</f>
        <v>#N/A</v>
      </c>
      <c r="I59" s="1" t="e">
        <f>IF(ISNUMBER(Table1[[#This Row],[Array Aperture Area / Element (mm2)]]),SQRT(Table1[[#This Row],[Array Aperture Area / Element (mm2)]]),#N/A)</f>
        <v>#N/A</v>
      </c>
      <c r="J59" s="1" t="e">
        <f>IF(OR(Table1[[#This Row],[Type (TX, RX, TRX, Oscillator)]]="TX",Table1[[#This Row],[Type (TX, RX, TRX, Oscillator)]]="TX FE"),I59,#N/A)</f>
        <v>#N/A</v>
      </c>
      <c r="K59" s="1" t="e">
        <f>IF(OR(Table1[[#This Row],[Type (TX, RX, TRX, Oscillator)]]="RX",Table1[[#This Row],[Type (TX, RX, TRX, Oscillator)]]="RX FE"),I59,#N/A)</f>
        <v>#N/A</v>
      </c>
      <c r="L59" s="1" t="e">
        <f>IF(OR(Table1[[#This Row],[Type (TX, RX, TRX, Oscillator)]]="TRX", Table1[[#This Row],[Type (TX, RX, TRX, Oscillator)]]="TRX FE"),I59,#N/A)</f>
        <v>#N/A</v>
      </c>
      <c r="M59" s="1" t="e">
        <f>IF(Table1[[#This Row],[Type (TX, RX, TRX, Oscillator)]]="Oscillator",I59,#N/A)</f>
        <v>#N/A</v>
      </c>
      <c r="N59" s="1" t="e">
        <f>IF(Table1[[#This Row],[Type (TX, RX, TRX, Oscillator)]]="Relay",I59,#N/A)</f>
        <v>#N/A</v>
      </c>
    </row>
    <row r="60" spans="1:14" x14ac:dyDescent="0.2">
      <c r="A60" s="1">
        <f>Table1[[#This Row],[Frequency (GHz)]]</f>
        <v>28</v>
      </c>
      <c r="B60" s="1">
        <f t="shared" si="0"/>
        <v>5.3571428571428568</v>
      </c>
      <c r="C60" s="1">
        <f>IF(ISNUMBER(Table1[[#This Row],[Chip Core Area / Element (mm2)]]),SQRT(Table1[[#This Row],[Chip Core Area / Element (mm2)]]),#N/A)</f>
        <v>1.567242801865748</v>
      </c>
      <c r="D60" s="1" t="e">
        <f>IF(OR(Table1[[#This Row],[Type (TX, RX, TRX, Oscillator)]]="TX", Table1[[#This Row],[Type (TX, RX, TRX, Oscillator)]]="TX FE"),C60,#N/A)</f>
        <v>#N/A</v>
      </c>
      <c r="E60" s="1" t="e">
        <f>IF(OR(Table1[[#This Row],[Type (TX, RX, TRX, Oscillator)]]="RX", Table1[[#This Row],[Type (TX, RX, TRX, Oscillator)]]="RX FE"),C60,#N/A)</f>
        <v>#N/A</v>
      </c>
      <c r="F60" s="1">
        <f>IF(OR(Table1[[#This Row],[Type (TX, RX, TRX, Oscillator)]]="TRX", Table1[[#This Row],[Type (TX, RX, TRX, Oscillator)]]="TRX FE"),C60,#N/A)</f>
        <v>1.567242801865748</v>
      </c>
      <c r="G60" s="1" t="e">
        <f>IF(Table1[[#This Row],[Type (TX, RX, TRX, Oscillator)]]="Oscillator",C60,#N/A)</f>
        <v>#N/A</v>
      </c>
      <c r="H60" s="1" t="e">
        <f>IF(Table1[[#This Row],[Type (TX, RX, TRX, Oscillator)]]="Relay",C60,#N/A)</f>
        <v>#N/A</v>
      </c>
      <c r="I60" s="1">
        <f>IF(ISNUMBER(Table1[[#This Row],[Array Aperture Area / Element (mm2)]]),SQRT(Table1[[#This Row],[Array Aperture Area / Element (mm2)]]),#N/A)</f>
        <v>7.245688373094719</v>
      </c>
      <c r="J60" s="1" t="e">
        <f>IF(OR(Table1[[#This Row],[Type (TX, RX, TRX, Oscillator)]]="TX",Table1[[#This Row],[Type (TX, RX, TRX, Oscillator)]]="TX FE"),I60,#N/A)</f>
        <v>#N/A</v>
      </c>
      <c r="K60" s="1" t="e">
        <f>IF(OR(Table1[[#This Row],[Type (TX, RX, TRX, Oscillator)]]="RX",Table1[[#This Row],[Type (TX, RX, TRX, Oscillator)]]="RX FE"),I60,#N/A)</f>
        <v>#N/A</v>
      </c>
      <c r="L60" s="1">
        <f>IF(OR(Table1[[#This Row],[Type (TX, RX, TRX, Oscillator)]]="TRX", Table1[[#This Row],[Type (TX, RX, TRX, Oscillator)]]="TRX FE"),I60,#N/A)</f>
        <v>7.245688373094719</v>
      </c>
      <c r="M60" s="1" t="e">
        <f>IF(Table1[[#This Row],[Type (TX, RX, TRX, Oscillator)]]="Oscillator",I60,#N/A)</f>
        <v>#N/A</v>
      </c>
      <c r="N60" s="1" t="e">
        <f>IF(Table1[[#This Row],[Type (TX, RX, TRX, Oscillator)]]="Relay",I60,#N/A)</f>
        <v>#N/A</v>
      </c>
    </row>
    <row r="61" spans="1:14" x14ac:dyDescent="0.2">
      <c r="A61" s="1">
        <f>Table1[[#This Row],[Frequency (GHz)]]</f>
        <v>28</v>
      </c>
      <c r="B61" s="1">
        <f t="shared" si="0"/>
        <v>5.3571428571428568</v>
      </c>
      <c r="C61" s="1" t="e">
        <f>IF(ISNUMBER(Table1[[#This Row],[Chip Core Area / Element (mm2)]]),SQRT(Table1[[#This Row],[Chip Core Area / Element (mm2)]]),#N/A)</f>
        <v>#N/A</v>
      </c>
      <c r="D61" s="1" t="e">
        <f>IF(OR(Table1[[#This Row],[Type (TX, RX, TRX, Oscillator)]]="TX", Table1[[#This Row],[Type (TX, RX, TRX, Oscillator)]]="TX FE"),C61,#N/A)</f>
        <v>#N/A</v>
      </c>
      <c r="E61" s="1" t="e">
        <f>IF(OR(Table1[[#This Row],[Type (TX, RX, TRX, Oscillator)]]="RX", Table1[[#This Row],[Type (TX, RX, TRX, Oscillator)]]="RX FE"),C61,#N/A)</f>
        <v>#N/A</v>
      </c>
      <c r="F61" s="1" t="e">
        <f>IF(OR(Table1[[#This Row],[Type (TX, RX, TRX, Oscillator)]]="TRX", Table1[[#This Row],[Type (TX, RX, TRX, Oscillator)]]="TRX FE"),C61,#N/A)</f>
        <v>#N/A</v>
      </c>
      <c r="G61" s="1" t="e">
        <f>IF(Table1[[#This Row],[Type (TX, RX, TRX, Oscillator)]]="Oscillator",C61,#N/A)</f>
        <v>#N/A</v>
      </c>
      <c r="H61" s="1" t="e">
        <f>IF(Table1[[#This Row],[Type (TX, RX, TRX, Oscillator)]]="Relay",C61,#N/A)</f>
        <v>#N/A</v>
      </c>
      <c r="I61" s="1">
        <f>IF(ISNUMBER(Table1[[#This Row],[Array Aperture Area / Element (mm2)]]),SQRT(Table1[[#This Row],[Array Aperture Area / Element (mm2)]]),#N/A)</f>
        <v>5</v>
      </c>
      <c r="J61" s="1" t="e">
        <f>IF(OR(Table1[[#This Row],[Type (TX, RX, TRX, Oscillator)]]="TX",Table1[[#This Row],[Type (TX, RX, TRX, Oscillator)]]="TX FE"),I61,#N/A)</f>
        <v>#N/A</v>
      </c>
      <c r="K61" s="1" t="e">
        <f>IF(OR(Table1[[#This Row],[Type (TX, RX, TRX, Oscillator)]]="RX",Table1[[#This Row],[Type (TX, RX, TRX, Oscillator)]]="RX FE"),I61,#N/A)</f>
        <v>#N/A</v>
      </c>
      <c r="L61" s="1">
        <f>IF(OR(Table1[[#This Row],[Type (TX, RX, TRX, Oscillator)]]="TRX", Table1[[#This Row],[Type (TX, RX, TRX, Oscillator)]]="TRX FE"),I61,#N/A)</f>
        <v>5</v>
      </c>
      <c r="M61" s="1" t="e">
        <f>IF(Table1[[#This Row],[Type (TX, RX, TRX, Oscillator)]]="Oscillator",I61,#N/A)</f>
        <v>#N/A</v>
      </c>
      <c r="N61" s="1" t="e">
        <f>IF(Table1[[#This Row],[Type (TX, RX, TRX, Oscillator)]]="Relay",I61,#N/A)</f>
        <v>#N/A</v>
      </c>
    </row>
    <row r="62" spans="1:14" x14ac:dyDescent="0.2">
      <c r="A62" s="1">
        <f>Table1[[#This Row],[Frequency (GHz)]]</f>
        <v>29.5</v>
      </c>
      <c r="B62" s="1">
        <f t="shared" si="0"/>
        <v>5.0847457627118642</v>
      </c>
      <c r="C62" s="1" t="e">
        <f>IF(ISNUMBER(Table1[[#This Row],[Chip Core Area / Element (mm2)]]),SQRT(Table1[[#This Row],[Chip Core Area / Element (mm2)]]),#N/A)</f>
        <v>#N/A</v>
      </c>
      <c r="D62" s="1" t="e">
        <f>IF(OR(Table1[[#This Row],[Type (TX, RX, TRX, Oscillator)]]="TX", Table1[[#This Row],[Type (TX, RX, TRX, Oscillator)]]="TX FE"),C62,#N/A)</f>
        <v>#N/A</v>
      </c>
      <c r="E62" s="1" t="e">
        <f>IF(OR(Table1[[#This Row],[Type (TX, RX, TRX, Oscillator)]]="RX", Table1[[#This Row],[Type (TX, RX, TRX, Oscillator)]]="RX FE"),C62,#N/A)</f>
        <v>#N/A</v>
      </c>
      <c r="F62" s="1" t="e">
        <f>IF(OR(Table1[[#This Row],[Type (TX, RX, TRX, Oscillator)]]="TRX", Table1[[#This Row],[Type (TX, RX, TRX, Oscillator)]]="TRX FE"),C62,#N/A)</f>
        <v>#N/A</v>
      </c>
      <c r="G62" s="1" t="e">
        <f>IF(Table1[[#This Row],[Type (TX, RX, TRX, Oscillator)]]="Oscillator",C62,#N/A)</f>
        <v>#N/A</v>
      </c>
      <c r="H62" s="1" t="e">
        <f>IF(Table1[[#This Row],[Type (TX, RX, TRX, Oscillator)]]="Relay",C62,#N/A)</f>
        <v>#N/A</v>
      </c>
      <c r="I62" s="1">
        <f>IF(ISNUMBER(Table1[[#This Row],[Array Aperture Area / Element (mm2)]]),SQRT(Table1[[#This Row],[Array Aperture Area / Element (mm2)]]),#N/A)</f>
        <v>5.5593389894842709</v>
      </c>
      <c r="J62" s="1" t="e">
        <f>IF(OR(Table1[[#This Row],[Type (TX, RX, TRX, Oscillator)]]="TX",Table1[[#This Row],[Type (TX, RX, TRX, Oscillator)]]="TX FE"),I62,#N/A)</f>
        <v>#N/A</v>
      </c>
      <c r="K62" s="1" t="e">
        <f>IF(OR(Table1[[#This Row],[Type (TX, RX, TRX, Oscillator)]]="RX",Table1[[#This Row],[Type (TX, RX, TRX, Oscillator)]]="RX FE"),I62,#N/A)</f>
        <v>#N/A</v>
      </c>
      <c r="L62" s="1">
        <f>IF(OR(Table1[[#This Row],[Type (TX, RX, TRX, Oscillator)]]="TRX", Table1[[#This Row],[Type (TX, RX, TRX, Oscillator)]]="TRX FE"),I62,#N/A)</f>
        <v>5.5593389894842709</v>
      </c>
      <c r="M62" s="1" t="e">
        <f>IF(Table1[[#This Row],[Type (TX, RX, TRX, Oscillator)]]="Oscillator",I62,#N/A)</f>
        <v>#N/A</v>
      </c>
      <c r="N62" s="1" t="e">
        <f>IF(Table1[[#This Row],[Type (TX, RX, TRX, Oscillator)]]="Relay",I62,#N/A)</f>
        <v>#N/A</v>
      </c>
    </row>
    <row r="63" spans="1:14" x14ac:dyDescent="0.2">
      <c r="A63" s="1">
        <f>Table1[[#This Row],[Frequency (GHz)]]</f>
        <v>420</v>
      </c>
      <c r="B63" s="1">
        <f t="shared" si="0"/>
        <v>0.35714285714285715</v>
      </c>
      <c r="C63" s="1">
        <f>IF(ISNUMBER(Table1[[#This Row],[Chip Core Area / Element (mm2)]]),SQRT(Table1[[#This Row],[Chip Core Area / Element (mm2)]]),#N/A)</f>
        <v>1.160344776348823</v>
      </c>
      <c r="D63" s="1">
        <f>IF(OR(Table1[[#This Row],[Type (TX, RX, TRX, Oscillator)]]="TX", Table1[[#This Row],[Type (TX, RX, TRX, Oscillator)]]="TX FE"),C63,#N/A)</f>
        <v>1.160344776348823</v>
      </c>
      <c r="E63" s="1" t="e">
        <f>IF(OR(Table1[[#This Row],[Type (TX, RX, TRX, Oscillator)]]="RX", Table1[[#This Row],[Type (TX, RX, TRX, Oscillator)]]="RX FE"),C63,#N/A)</f>
        <v>#N/A</v>
      </c>
      <c r="F63" s="1" t="e">
        <f>IF(OR(Table1[[#This Row],[Type (TX, RX, TRX, Oscillator)]]="TRX", Table1[[#This Row],[Type (TX, RX, TRX, Oscillator)]]="TRX FE"),C63,#N/A)</f>
        <v>#N/A</v>
      </c>
      <c r="G63" s="1" t="e">
        <f>IF(Table1[[#This Row],[Type (TX, RX, TRX, Oscillator)]]="Oscillator",C63,#N/A)</f>
        <v>#N/A</v>
      </c>
      <c r="H63" s="1" t="e">
        <f>IF(Table1[[#This Row],[Type (TX, RX, TRX, Oscillator)]]="Relay",C63,#N/A)</f>
        <v>#N/A</v>
      </c>
      <c r="I63" s="1" t="e">
        <f>IF(ISNUMBER(Table1[[#This Row],[Array Aperture Area / Element (mm2)]]),SQRT(Table1[[#This Row],[Array Aperture Area / Element (mm2)]]),#N/A)</f>
        <v>#N/A</v>
      </c>
      <c r="J63" s="1" t="e">
        <f>IF(OR(Table1[[#This Row],[Type (TX, RX, TRX, Oscillator)]]="TX",Table1[[#This Row],[Type (TX, RX, TRX, Oscillator)]]="TX FE"),I63,#N/A)</f>
        <v>#N/A</v>
      </c>
      <c r="K63" s="1" t="e">
        <f>IF(OR(Table1[[#This Row],[Type (TX, RX, TRX, Oscillator)]]="RX",Table1[[#This Row],[Type (TX, RX, TRX, Oscillator)]]="RX FE"),I63,#N/A)</f>
        <v>#N/A</v>
      </c>
      <c r="L63" s="1" t="e">
        <f>IF(OR(Table1[[#This Row],[Type (TX, RX, TRX, Oscillator)]]="TRX", Table1[[#This Row],[Type (TX, RX, TRX, Oscillator)]]="TRX FE"),I63,#N/A)</f>
        <v>#N/A</v>
      </c>
      <c r="M63" s="1" t="e">
        <f>IF(Table1[[#This Row],[Type (TX, RX, TRX, Oscillator)]]="Oscillator",I63,#N/A)</f>
        <v>#N/A</v>
      </c>
      <c r="N63" s="1" t="e">
        <f>IF(Table1[[#This Row],[Type (TX, RX, TRX, Oscillator)]]="Relay",I63,#N/A)</f>
        <v>#N/A</v>
      </c>
    </row>
    <row r="64" spans="1:14" x14ac:dyDescent="0.2">
      <c r="A64" s="1">
        <f>Table1[[#This Row],[Frequency (GHz)]]</f>
        <v>420</v>
      </c>
      <c r="B64" s="1">
        <f t="shared" si="0"/>
        <v>0.35714285714285715</v>
      </c>
      <c r="C64" s="1">
        <f>IF(ISNUMBER(Table1[[#This Row],[Chip Core Area / Element (mm2)]]),SQRT(Table1[[#This Row],[Chip Core Area / Element (mm2)]]),#N/A)</f>
        <v>1.9452506265260525</v>
      </c>
      <c r="D64" s="1" t="e">
        <f>IF(OR(Table1[[#This Row],[Type (TX, RX, TRX, Oscillator)]]="TX", Table1[[#This Row],[Type (TX, RX, TRX, Oscillator)]]="TX FE"),C64,#N/A)</f>
        <v>#N/A</v>
      </c>
      <c r="E64" s="1">
        <f>IF(OR(Table1[[#This Row],[Type (TX, RX, TRX, Oscillator)]]="RX", Table1[[#This Row],[Type (TX, RX, TRX, Oscillator)]]="RX FE"),C64,#N/A)</f>
        <v>1.9452506265260525</v>
      </c>
      <c r="F64" s="1" t="e">
        <f>IF(OR(Table1[[#This Row],[Type (TX, RX, TRX, Oscillator)]]="TRX", Table1[[#This Row],[Type (TX, RX, TRX, Oscillator)]]="TRX FE"),C64,#N/A)</f>
        <v>#N/A</v>
      </c>
      <c r="G64" s="1" t="e">
        <f>IF(Table1[[#This Row],[Type (TX, RX, TRX, Oscillator)]]="Oscillator",C64,#N/A)</f>
        <v>#N/A</v>
      </c>
      <c r="H64" s="1" t="e">
        <f>IF(Table1[[#This Row],[Type (TX, RX, TRX, Oscillator)]]="Relay",C64,#N/A)</f>
        <v>#N/A</v>
      </c>
      <c r="I64" s="1" t="e">
        <f>IF(ISNUMBER(Table1[[#This Row],[Array Aperture Area / Element (mm2)]]),SQRT(Table1[[#This Row],[Array Aperture Area / Element (mm2)]]),#N/A)</f>
        <v>#N/A</v>
      </c>
      <c r="J64" s="1" t="e">
        <f>IF(OR(Table1[[#This Row],[Type (TX, RX, TRX, Oscillator)]]="TX",Table1[[#This Row],[Type (TX, RX, TRX, Oscillator)]]="TX FE"),I64,#N/A)</f>
        <v>#N/A</v>
      </c>
      <c r="K64" s="1" t="e">
        <f>IF(OR(Table1[[#This Row],[Type (TX, RX, TRX, Oscillator)]]="RX",Table1[[#This Row],[Type (TX, RX, TRX, Oscillator)]]="RX FE"),I64,#N/A)</f>
        <v>#N/A</v>
      </c>
      <c r="L64" s="1" t="e">
        <f>IF(OR(Table1[[#This Row],[Type (TX, RX, TRX, Oscillator)]]="TRX", Table1[[#This Row],[Type (TX, RX, TRX, Oscillator)]]="TRX FE"),I64,#N/A)</f>
        <v>#N/A</v>
      </c>
      <c r="M64" s="1" t="e">
        <f>IF(Table1[[#This Row],[Type (TX, RX, TRX, Oscillator)]]="Oscillator",I64,#N/A)</f>
        <v>#N/A</v>
      </c>
      <c r="N64" s="1" t="e">
        <f>IF(Table1[[#This Row],[Type (TX, RX, TRX, Oscillator)]]="Relay",I64,#N/A)</f>
        <v>#N/A</v>
      </c>
    </row>
    <row r="65" spans="1:14" x14ac:dyDescent="0.2">
      <c r="A65" s="1">
        <f>Table1[[#This Row],[Frequency (GHz)]]</f>
        <v>245</v>
      </c>
      <c r="B65" s="1">
        <f t="shared" si="0"/>
        <v>0.61224489795918369</v>
      </c>
      <c r="C65" s="1">
        <f>IF(ISNUMBER(Table1[[#This Row],[Chip Core Area / Element (mm2)]]),SQRT(Table1[[#This Row],[Chip Core Area / Element (mm2)]]),#N/A)</f>
        <v>0.51497572758334931</v>
      </c>
      <c r="D65" s="1" t="e">
        <f>IF(OR(Table1[[#This Row],[Type (TX, RX, TRX, Oscillator)]]="TX", Table1[[#This Row],[Type (TX, RX, TRX, Oscillator)]]="TX FE"),C65,#N/A)</f>
        <v>#N/A</v>
      </c>
      <c r="E65" s="1" t="e">
        <f>IF(OR(Table1[[#This Row],[Type (TX, RX, TRX, Oscillator)]]="RX", Table1[[#This Row],[Type (TX, RX, TRX, Oscillator)]]="RX FE"),C65,#N/A)</f>
        <v>#N/A</v>
      </c>
      <c r="F65" s="1" t="e">
        <f>IF(OR(Table1[[#This Row],[Type (TX, RX, TRX, Oscillator)]]="TRX", Table1[[#This Row],[Type (TX, RX, TRX, Oscillator)]]="TRX FE"),C65,#N/A)</f>
        <v>#N/A</v>
      </c>
      <c r="G65" s="1">
        <f>IF(Table1[[#This Row],[Type (TX, RX, TRX, Oscillator)]]="Oscillator",C65,#N/A)</f>
        <v>0.51497572758334931</v>
      </c>
      <c r="H65" s="1" t="e">
        <f>IF(Table1[[#This Row],[Type (TX, RX, TRX, Oscillator)]]="Relay",C65,#N/A)</f>
        <v>#N/A</v>
      </c>
      <c r="I65" s="1" t="e">
        <f>IF(ISNUMBER(Table1[[#This Row],[Array Aperture Area / Element (mm2)]]),SQRT(Table1[[#This Row],[Array Aperture Area / Element (mm2)]]),#N/A)</f>
        <v>#N/A</v>
      </c>
      <c r="J65" s="1" t="e">
        <f>IF(OR(Table1[[#This Row],[Type (TX, RX, TRX, Oscillator)]]="TX",Table1[[#This Row],[Type (TX, RX, TRX, Oscillator)]]="TX FE"),I65,#N/A)</f>
        <v>#N/A</v>
      </c>
      <c r="K65" s="1" t="e">
        <f>IF(OR(Table1[[#This Row],[Type (TX, RX, TRX, Oscillator)]]="RX",Table1[[#This Row],[Type (TX, RX, TRX, Oscillator)]]="RX FE"),I65,#N/A)</f>
        <v>#N/A</v>
      </c>
      <c r="L65" s="1" t="e">
        <f>IF(OR(Table1[[#This Row],[Type (TX, RX, TRX, Oscillator)]]="TRX", Table1[[#This Row],[Type (TX, RX, TRX, Oscillator)]]="TRX FE"),I65,#N/A)</f>
        <v>#N/A</v>
      </c>
      <c r="M65" s="1" t="e">
        <f>IF(Table1[[#This Row],[Type (TX, RX, TRX, Oscillator)]]="Oscillator",I65,#N/A)</f>
        <v>#N/A</v>
      </c>
      <c r="N65" s="1" t="e">
        <f>IF(Table1[[#This Row],[Type (TX, RX, TRX, Oscillator)]]="Relay",I65,#N/A)</f>
        <v>#N/A</v>
      </c>
    </row>
    <row r="66" spans="1:14" x14ac:dyDescent="0.2">
      <c r="A66" s="1">
        <f>Table1[[#This Row],[Frequency (GHz)]]</f>
        <v>256</v>
      </c>
      <c r="B66" s="1">
        <f t="shared" si="0"/>
        <v>0.5859375</v>
      </c>
      <c r="C66" s="1">
        <f>IF(ISNUMBER(Table1[[#This Row],[Chip Core Area / Element (mm2)]]),SQRT(Table1[[#This Row],[Chip Core Area / Element (mm2)]]),#N/A)</f>
        <v>1.8432308591166762</v>
      </c>
      <c r="D66" s="1" t="e">
        <f>IF(OR(Table1[[#This Row],[Type (TX, RX, TRX, Oscillator)]]="TX", Table1[[#This Row],[Type (TX, RX, TRX, Oscillator)]]="TX FE"),C66,#N/A)</f>
        <v>#N/A</v>
      </c>
      <c r="E66" s="1" t="e">
        <f>IF(OR(Table1[[#This Row],[Type (TX, RX, TRX, Oscillator)]]="RX", Table1[[#This Row],[Type (TX, RX, TRX, Oscillator)]]="RX FE"),C66,#N/A)</f>
        <v>#N/A</v>
      </c>
      <c r="F66" s="1">
        <f>IF(OR(Table1[[#This Row],[Type (TX, RX, TRX, Oscillator)]]="TRX", Table1[[#This Row],[Type (TX, RX, TRX, Oscillator)]]="TRX FE"),C66,#N/A)</f>
        <v>1.8432308591166762</v>
      </c>
      <c r="G66" s="1" t="e">
        <f>IF(Table1[[#This Row],[Type (TX, RX, TRX, Oscillator)]]="Oscillator",C66,#N/A)</f>
        <v>#N/A</v>
      </c>
      <c r="H66" s="1" t="e">
        <f>IF(Table1[[#This Row],[Type (TX, RX, TRX, Oscillator)]]="Relay",C66,#N/A)</f>
        <v>#N/A</v>
      </c>
      <c r="I66" s="1" t="e">
        <f>IF(ISNUMBER(Table1[[#This Row],[Array Aperture Area / Element (mm2)]]),SQRT(Table1[[#This Row],[Array Aperture Area / Element (mm2)]]),#N/A)</f>
        <v>#N/A</v>
      </c>
      <c r="J66" s="1" t="e">
        <f>IF(OR(Table1[[#This Row],[Type (TX, RX, TRX, Oscillator)]]="TX",Table1[[#This Row],[Type (TX, RX, TRX, Oscillator)]]="TX FE"),I66,#N/A)</f>
        <v>#N/A</v>
      </c>
      <c r="K66" s="1" t="e">
        <f>IF(OR(Table1[[#This Row],[Type (TX, RX, TRX, Oscillator)]]="RX",Table1[[#This Row],[Type (TX, RX, TRX, Oscillator)]]="RX FE"),I66,#N/A)</f>
        <v>#N/A</v>
      </c>
      <c r="L66" s="1" t="e">
        <f>IF(OR(Table1[[#This Row],[Type (TX, RX, TRX, Oscillator)]]="TRX", Table1[[#This Row],[Type (TX, RX, TRX, Oscillator)]]="TRX FE"),I66,#N/A)</f>
        <v>#N/A</v>
      </c>
      <c r="M66" s="1" t="e">
        <f>IF(Table1[[#This Row],[Type (TX, RX, TRX, Oscillator)]]="Oscillator",I66,#N/A)</f>
        <v>#N/A</v>
      </c>
      <c r="N66" s="1" t="e">
        <f>IF(Table1[[#This Row],[Type (TX, RX, TRX, Oscillator)]]="Relay",I66,#N/A)</f>
        <v>#N/A</v>
      </c>
    </row>
    <row r="67" spans="1:14" x14ac:dyDescent="0.2">
      <c r="A67" s="1">
        <f>Table1[[#This Row],[Frequency (GHz)]]</f>
        <v>450</v>
      </c>
      <c r="B67" s="1">
        <f t="shared" ref="B67:B130" si="1">300000000/(A67*1000000000)*1000/2</f>
        <v>0.33333333333333331</v>
      </c>
      <c r="C67" s="1">
        <f>IF(ISNUMBER(Table1[[#This Row],[Chip Core Area / Element (mm2)]]),SQRT(Table1[[#This Row],[Chip Core Area / Element (mm2)]]),#N/A)</f>
        <v>0.53425515573419735</v>
      </c>
      <c r="D67" s="1" t="e">
        <f>IF(OR(Table1[[#This Row],[Type (TX, RX, TRX, Oscillator)]]="TX", Table1[[#This Row],[Type (TX, RX, TRX, Oscillator)]]="TX FE"),C67,#N/A)</f>
        <v>#N/A</v>
      </c>
      <c r="E67" s="1" t="e">
        <f>IF(OR(Table1[[#This Row],[Type (TX, RX, TRX, Oscillator)]]="RX", Table1[[#This Row],[Type (TX, RX, TRX, Oscillator)]]="RX FE"),C67,#N/A)</f>
        <v>#N/A</v>
      </c>
      <c r="F67" s="1" t="e">
        <f>IF(OR(Table1[[#This Row],[Type (TX, RX, TRX, Oscillator)]]="TRX", Table1[[#This Row],[Type (TX, RX, TRX, Oscillator)]]="TRX FE"),C67,#N/A)</f>
        <v>#N/A</v>
      </c>
      <c r="G67" s="1">
        <f>IF(Table1[[#This Row],[Type (TX, RX, TRX, Oscillator)]]="Oscillator",C67,#N/A)</f>
        <v>0.53425515573419735</v>
      </c>
      <c r="H67" s="1" t="e">
        <f>IF(Table1[[#This Row],[Type (TX, RX, TRX, Oscillator)]]="Relay",C67,#N/A)</f>
        <v>#N/A</v>
      </c>
      <c r="I67" s="1" t="e">
        <f>IF(ISNUMBER(Table1[[#This Row],[Array Aperture Area / Element (mm2)]]),SQRT(Table1[[#This Row],[Array Aperture Area / Element (mm2)]]),#N/A)</f>
        <v>#N/A</v>
      </c>
      <c r="J67" s="1" t="e">
        <f>IF(OR(Table1[[#This Row],[Type (TX, RX, TRX, Oscillator)]]="TX",Table1[[#This Row],[Type (TX, RX, TRX, Oscillator)]]="TX FE"),I67,#N/A)</f>
        <v>#N/A</v>
      </c>
      <c r="K67" s="1" t="e">
        <f>IF(OR(Table1[[#This Row],[Type (TX, RX, TRX, Oscillator)]]="RX",Table1[[#This Row],[Type (TX, RX, TRX, Oscillator)]]="RX FE"),I67,#N/A)</f>
        <v>#N/A</v>
      </c>
      <c r="L67" s="1" t="e">
        <f>IF(OR(Table1[[#This Row],[Type (TX, RX, TRX, Oscillator)]]="TRX", Table1[[#This Row],[Type (TX, RX, TRX, Oscillator)]]="TRX FE"),I67,#N/A)</f>
        <v>#N/A</v>
      </c>
      <c r="M67" s="1" t="e">
        <f>IF(Table1[[#This Row],[Type (TX, RX, TRX, Oscillator)]]="Oscillator",I67,#N/A)</f>
        <v>#N/A</v>
      </c>
      <c r="N67" s="1" t="e">
        <f>IF(Table1[[#This Row],[Type (TX, RX, TRX, Oscillator)]]="Relay",I67,#N/A)</f>
        <v>#N/A</v>
      </c>
    </row>
    <row r="68" spans="1:14" x14ac:dyDescent="0.2">
      <c r="A68" s="1">
        <f>Table1[[#This Row],[Frequency (GHz)]]</f>
        <v>605</v>
      </c>
      <c r="B68" s="1">
        <f t="shared" si="1"/>
        <v>0.24793388429752067</v>
      </c>
      <c r="C68" s="1">
        <f>IF(ISNUMBER(Table1[[#This Row],[Chip Core Area / Element (mm2)]]),SQRT(Table1[[#This Row],[Chip Core Area / Element (mm2)]]),#N/A)</f>
        <v>0.11631852818876277</v>
      </c>
      <c r="D68" s="1" t="e">
        <f>IF(OR(Table1[[#This Row],[Type (TX, RX, TRX, Oscillator)]]="TX", Table1[[#This Row],[Type (TX, RX, TRX, Oscillator)]]="TX FE"),C68,#N/A)</f>
        <v>#N/A</v>
      </c>
      <c r="E68" s="1" t="e">
        <f>IF(OR(Table1[[#This Row],[Type (TX, RX, TRX, Oscillator)]]="RX", Table1[[#This Row],[Type (TX, RX, TRX, Oscillator)]]="RX FE"),C68,#N/A)</f>
        <v>#N/A</v>
      </c>
      <c r="F68" s="1" t="e">
        <f>IF(OR(Table1[[#This Row],[Type (TX, RX, TRX, Oscillator)]]="TRX", Table1[[#This Row],[Type (TX, RX, TRX, Oscillator)]]="TRX FE"),C68,#N/A)</f>
        <v>#N/A</v>
      </c>
      <c r="G68" s="1">
        <f>IF(Table1[[#This Row],[Type (TX, RX, TRX, Oscillator)]]="Oscillator",C68,#N/A)</f>
        <v>0.11631852818876277</v>
      </c>
      <c r="H68" s="1" t="e">
        <f>IF(Table1[[#This Row],[Type (TX, RX, TRX, Oscillator)]]="Relay",C68,#N/A)</f>
        <v>#N/A</v>
      </c>
      <c r="I68" s="1" t="e">
        <f>IF(ISNUMBER(Table1[[#This Row],[Array Aperture Area / Element (mm2)]]),SQRT(Table1[[#This Row],[Array Aperture Area / Element (mm2)]]),#N/A)</f>
        <v>#N/A</v>
      </c>
      <c r="J68" s="1" t="e">
        <f>IF(OR(Table1[[#This Row],[Type (TX, RX, TRX, Oscillator)]]="TX",Table1[[#This Row],[Type (TX, RX, TRX, Oscillator)]]="TX FE"),I68,#N/A)</f>
        <v>#N/A</v>
      </c>
      <c r="K68" s="1" t="e">
        <f>IF(OR(Table1[[#This Row],[Type (TX, RX, TRX, Oscillator)]]="RX",Table1[[#This Row],[Type (TX, RX, TRX, Oscillator)]]="RX FE"),I68,#N/A)</f>
        <v>#N/A</v>
      </c>
      <c r="L68" s="1" t="e">
        <f>IF(OR(Table1[[#This Row],[Type (TX, RX, TRX, Oscillator)]]="TRX", Table1[[#This Row],[Type (TX, RX, TRX, Oscillator)]]="TRX FE"),I68,#N/A)</f>
        <v>#N/A</v>
      </c>
      <c r="M68" s="1" t="e">
        <f>IF(Table1[[#This Row],[Type (TX, RX, TRX, Oscillator)]]="Oscillator",I68,#N/A)</f>
        <v>#N/A</v>
      </c>
      <c r="N68" s="1" t="e">
        <f>IF(Table1[[#This Row],[Type (TX, RX, TRX, Oscillator)]]="Relay",I68,#N/A)</f>
        <v>#N/A</v>
      </c>
    </row>
    <row r="69" spans="1:14" x14ac:dyDescent="0.2">
      <c r="A69" s="1">
        <f>Table1[[#This Row],[Frequency (GHz)]]</f>
        <v>378</v>
      </c>
      <c r="B69" s="1">
        <f t="shared" si="1"/>
        <v>0.3968253968253968</v>
      </c>
      <c r="C69" s="1">
        <f>IF(ISNUMBER(Table1[[#This Row],[Chip Core Area / Element (mm2)]]),SQRT(Table1[[#This Row],[Chip Core Area / Element (mm2)]]),#N/A)</f>
        <v>1.0068763578513502</v>
      </c>
      <c r="D69" s="1" t="e">
        <f>IF(OR(Table1[[#This Row],[Type (TX, RX, TRX, Oscillator)]]="TX", Table1[[#This Row],[Type (TX, RX, TRX, Oscillator)]]="TX FE"),C69,#N/A)</f>
        <v>#N/A</v>
      </c>
      <c r="E69" s="1" t="e">
        <f>IF(OR(Table1[[#This Row],[Type (TX, RX, TRX, Oscillator)]]="RX", Table1[[#This Row],[Type (TX, RX, TRX, Oscillator)]]="RX FE"),C69,#N/A)</f>
        <v>#N/A</v>
      </c>
      <c r="F69" s="1">
        <f>IF(OR(Table1[[#This Row],[Type (TX, RX, TRX, Oscillator)]]="TRX", Table1[[#This Row],[Type (TX, RX, TRX, Oscillator)]]="TRX FE"),C69,#N/A)</f>
        <v>1.0068763578513502</v>
      </c>
      <c r="G69" s="1" t="e">
        <f>IF(Table1[[#This Row],[Type (TX, RX, TRX, Oscillator)]]="Oscillator",C69,#N/A)</f>
        <v>#N/A</v>
      </c>
      <c r="H69" s="1" t="e">
        <f>IF(Table1[[#This Row],[Type (TX, RX, TRX, Oscillator)]]="Relay",C69,#N/A)</f>
        <v>#N/A</v>
      </c>
      <c r="I69" s="1" t="e">
        <f>IF(ISNUMBER(Table1[[#This Row],[Array Aperture Area / Element (mm2)]]),SQRT(Table1[[#This Row],[Array Aperture Area / Element (mm2)]]),#N/A)</f>
        <v>#N/A</v>
      </c>
      <c r="J69" s="1" t="e">
        <f>IF(OR(Table1[[#This Row],[Type (TX, RX, TRX, Oscillator)]]="TX",Table1[[#This Row],[Type (TX, RX, TRX, Oscillator)]]="TX FE"),I69,#N/A)</f>
        <v>#N/A</v>
      </c>
      <c r="K69" s="1" t="e">
        <f>IF(OR(Table1[[#This Row],[Type (TX, RX, TRX, Oscillator)]]="RX",Table1[[#This Row],[Type (TX, RX, TRX, Oscillator)]]="RX FE"),I69,#N/A)</f>
        <v>#N/A</v>
      </c>
      <c r="L69" s="1" t="e">
        <f>IF(OR(Table1[[#This Row],[Type (TX, RX, TRX, Oscillator)]]="TRX", Table1[[#This Row],[Type (TX, RX, TRX, Oscillator)]]="TRX FE"),I69,#N/A)</f>
        <v>#N/A</v>
      </c>
      <c r="M69" s="1" t="e">
        <f>IF(Table1[[#This Row],[Type (TX, RX, TRX, Oscillator)]]="Oscillator",I69,#N/A)</f>
        <v>#N/A</v>
      </c>
      <c r="N69" s="1" t="e">
        <f>IF(Table1[[#This Row],[Type (TX, RX, TRX, Oscillator)]]="Relay",I69,#N/A)</f>
        <v>#N/A</v>
      </c>
    </row>
    <row r="70" spans="1:14" x14ac:dyDescent="0.2">
      <c r="A70" s="1">
        <f>Table1[[#This Row],[Frequency (GHz)]]</f>
        <v>60</v>
      </c>
      <c r="B70" s="1">
        <f t="shared" si="1"/>
        <v>2.5</v>
      </c>
      <c r="C70" s="1">
        <f>IF(ISNUMBER(Table1[[#This Row],[Chip Core Area / Element (mm2)]]),SQRT(Table1[[#This Row],[Chip Core Area / Element (mm2)]]),#N/A)</f>
        <v>1.0074720839804943</v>
      </c>
      <c r="D70" s="1">
        <f>IF(OR(Table1[[#This Row],[Type (TX, RX, TRX, Oscillator)]]="TX", Table1[[#This Row],[Type (TX, RX, TRX, Oscillator)]]="TX FE"),C70,#N/A)</f>
        <v>1.0074720839804943</v>
      </c>
      <c r="E70" s="1" t="e">
        <f>IF(OR(Table1[[#This Row],[Type (TX, RX, TRX, Oscillator)]]="RX", Table1[[#This Row],[Type (TX, RX, TRX, Oscillator)]]="RX FE"),C70,#N/A)</f>
        <v>#N/A</v>
      </c>
      <c r="F70" s="1" t="e">
        <f>IF(OR(Table1[[#This Row],[Type (TX, RX, TRX, Oscillator)]]="TRX", Table1[[#This Row],[Type (TX, RX, TRX, Oscillator)]]="TRX FE"),C70,#N/A)</f>
        <v>#N/A</v>
      </c>
      <c r="G70" s="1" t="e">
        <f>IF(Table1[[#This Row],[Type (TX, RX, TRX, Oscillator)]]="Oscillator",C70,#N/A)</f>
        <v>#N/A</v>
      </c>
      <c r="H70" s="1" t="e">
        <f>IF(Table1[[#This Row],[Type (TX, RX, TRX, Oscillator)]]="Relay",C70,#N/A)</f>
        <v>#N/A</v>
      </c>
      <c r="I70" s="1" t="e">
        <f>IF(ISNUMBER(Table1[[#This Row],[Array Aperture Area / Element (mm2)]]),SQRT(Table1[[#This Row],[Array Aperture Area / Element (mm2)]]),#N/A)</f>
        <v>#N/A</v>
      </c>
      <c r="J70" s="1" t="e">
        <f>IF(OR(Table1[[#This Row],[Type (TX, RX, TRX, Oscillator)]]="TX",Table1[[#This Row],[Type (TX, RX, TRX, Oscillator)]]="TX FE"),I70,#N/A)</f>
        <v>#N/A</v>
      </c>
      <c r="K70" s="1" t="e">
        <f>IF(OR(Table1[[#This Row],[Type (TX, RX, TRX, Oscillator)]]="RX",Table1[[#This Row],[Type (TX, RX, TRX, Oscillator)]]="RX FE"),I70,#N/A)</f>
        <v>#N/A</v>
      </c>
      <c r="L70" s="1" t="e">
        <f>IF(OR(Table1[[#This Row],[Type (TX, RX, TRX, Oscillator)]]="TRX", Table1[[#This Row],[Type (TX, RX, TRX, Oscillator)]]="TRX FE"),I70,#N/A)</f>
        <v>#N/A</v>
      </c>
      <c r="M70" s="1" t="e">
        <f>IF(Table1[[#This Row],[Type (TX, RX, TRX, Oscillator)]]="Oscillator",I70,#N/A)</f>
        <v>#N/A</v>
      </c>
      <c r="N70" s="1" t="e">
        <f>IF(Table1[[#This Row],[Type (TX, RX, TRX, Oscillator)]]="Relay",I70,#N/A)</f>
        <v>#N/A</v>
      </c>
    </row>
    <row r="71" spans="1:14" x14ac:dyDescent="0.2">
      <c r="A71" s="1">
        <f>Table1[[#This Row],[Frequency (GHz)]]</f>
        <v>11.7</v>
      </c>
      <c r="B71" s="1">
        <f t="shared" si="1"/>
        <v>12.820512820512819</v>
      </c>
      <c r="C71" s="1" t="e">
        <f>IF(ISNUMBER(Table1[[#This Row],[Chip Core Area / Element (mm2)]]),SQRT(Table1[[#This Row],[Chip Core Area / Element (mm2)]]),#N/A)</f>
        <v>#N/A</v>
      </c>
      <c r="D71" s="1" t="e">
        <f>IF(OR(Table1[[#This Row],[Type (TX, RX, TRX, Oscillator)]]="TX", Table1[[#This Row],[Type (TX, RX, TRX, Oscillator)]]="TX FE"),C71,#N/A)</f>
        <v>#N/A</v>
      </c>
      <c r="E71" s="1" t="e">
        <f>IF(OR(Table1[[#This Row],[Type (TX, RX, TRX, Oscillator)]]="RX", Table1[[#This Row],[Type (TX, RX, TRX, Oscillator)]]="RX FE"),C71,#N/A)</f>
        <v>#N/A</v>
      </c>
      <c r="F71" s="1" t="e">
        <f>IF(OR(Table1[[#This Row],[Type (TX, RX, TRX, Oscillator)]]="TRX", Table1[[#This Row],[Type (TX, RX, TRX, Oscillator)]]="TRX FE"),C71,#N/A)</f>
        <v>#N/A</v>
      </c>
      <c r="G71" s="1" t="e">
        <f>IF(Table1[[#This Row],[Type (TX, RX, TRX, Oscillator)]]="Oscillator",C71,#N/A)</f>
        <v>#N/A</v>
      </c>
      <c r="H71" s="1" t="e">
        <f>IF(Table1[[#This Row],[Type (TX, RX, TRX, Oscillator)]]="Relay",C71,#N/A)</f>
        <v>#N/A</v>
      </c>
      <c r="I71" s="1">
        <f>IF(ISNUMBER(Table1[[#This Row],[Array Aperture Area / Element (mm2)]]),SQRT(Table1[[#This Row],[Array Aperture Area / Element (mm2)]]),#N/A)</f>
        <v>1.23125</v>
      </c>
      <c r="J71" s="1" t="e">
        <f>IF(OR(Table1[[#This Row],[Type (TX, RX, TRX, Oscillator)]]="TX",Table1[[#This Row],[Type (TX, RX, TRX, Oscillator)]]="TX FE"),I71,#N/A)</f>
        <v>#N/A</v>
      </c>
      <c r="K71" s="1">
        <f>IF(OR(Table1[[#This Row],[Type (TX, RX, TRX, Oscillator)]]="RX",Table1[[#This Row],[Type (TX, RX, TRX, Oscillator)]]="RX FE"),I71,#N/A)</f>
        <v>1.23125</v>
      </c>
      <c r="L71" s="1" t="e">
        <f>IF(OR(Table1[[#This Row],[Type (TX, RX, TRX, Oscillator)]]="TRX", Table1[[#This Row],[Type (TX, RX, TRX, Oscillator)]]="TRX FE"),I71,#N/A)</f>
        <v>#N/A</v>
      </c>
      <c r="M71" s="1" t="e">
        <f>IF(Table1[[#This Row],[Type (TX, RX, TRX, Oscillator)]]="Oscillator",I71,#N/A)</f>
        <v>#N/A</v>
      </c>
      <c r="N71" s="1" t="e">
        <f>IF(Table1[[#This Row],[Type (TX, RX, TRX, Oscillator)]]="Relay",I71,#N/A)</f>
        <v>#N/A</v>
      </c>
    </row>
    <row r="72" spans="1:14" x14ac:dyDescent="0.2">
      <c r="A72" s="1">
        <f>Table1[[#This Row],[Frequency (GHz)]]</f>
        <v>14</v>
      </c>
      <c r="B72" s="1">
        <f t="shared" si="1"/>
        <v>10.714285714285714</v>
      </c>
      <c r="C72" s="1" t="e">
        <f>IF(ISNUMBER(Table1[[#This Row],[Chip Core Area / Element (mm2)]]),SQRT(Table1[[#This Row],[Chip Core Area / Element (mm2)]]),#N/A)</f>
        <v>#N/A</v>
      </c>
      <c r="D72" s="1" t="e">
        <f>IF(OR(Table1[[#This Row],[Type (TX, RX, TRX, Oscillator)]]="TX", Table1[[#This Row],[Type (TX, RX, TRX, Oscillator)]]="TX FE"),C72,#N/A)</f>
        <v>#N/A</v>
      </c>
      <c r="E72" s="1" t="e">
        <f>IF(OR(Table1[[#This Row],[Type (TX, RX, TRX, Oscillator)]]="RX", Table1[[#This Row],[Type (TX, RX, TRX, Oscillator)]]="RX FE"),C72,#N/A)</f>
        <v>#N/A</v>
      </c>
      <c r="F72" s="1" t="e">
        <f>IF(OR(Table1[[#This Row],[Type (TX, RX, TRX, Oscillator)]]="TRX", Table1[[#This Row],[Type (TX, RX, TRX, Oscillator)]]="TRX FE"),C72,#N/A)</f>
        <v>#N/A</v>
      </c>
      <c r="G72" s="1" t="e">
        <f>IF(Table1[[#This Row],[Type (TX, RX, TRX, Oscillator)]]="Oscillator",C72,#N/A)</f>
        <v>#N/A</v>
      </c>
      <c r="H72" s="1" t="e">
        <f>IF(Table1[[#This Row],[Type (TX, RX, TRX, Oscillator)]]="Relay",C72,#N/A)</f>
        <v>#N/A</v>
      </c>
      <c r="I72" s="1">
        <f>IF(ISNUMBER(Table1[[#This Row],[Array Aperture Area / Element (mm2)]]),SQRT(Table1[[#This Row],[Array Aperture Area / Element (mm2)]]),#N/A)</f>
        <v>1.0687499999999999</v>
      </c>
      <c r="J72" s="1">
        <f>IF(OR(Table1[[#This Row],[Type (TX, RX, TRX, Oscillator)]]="TX",Table1[[#This Row],[Type (TX, RX, TRX, Oscillator)]]="TX FE"),I72,#N/A)</f>
        <v>1.0687499999999999</v>
      </c>
      <c r="K72" s="1" t="e">
        <f>IF(OR(Table1[[#This Row],[Type (TX, RX, TRX, Oscillator)]]="RX",Table1[[#This Row],[Type (TX, RX, TRX, Oscillator)]]="RX FE"),I72,#N/A)</f>
        <v>#N/A</v>
      </c>
      <c r="L72" s="1" t="e">
        <f>IF(OR(Table1[[#This Row],[Type (TX, RX, TRX, Oscillator)]]="TRX", Table1[[#This Row],[Type (TX, RX, TRX, Oscillator)]]="TRX FE"),I72,#N/A)</f>
        <v>#N/A</v>
      </c>
      <c r="M72" s="1" t="e">
        <f>IF(Table1[[#This Row],[Type (TX, RX, TRX, Oscillator)]]="Oscillator",I72,#N/A)</f>
        <v>#N/A</v>
      </c>
      <c r="N72" s="1" t="e">
        <f>IF(Table1[[#This Row],[Type (TX, RX, TRX, Oscillator)]]="Relay",I72,#N/A)</f>
        <v>#N/A</v>
      </c>
    </row>
    <row r="73" spans="1:14" x14ac:dyDescent="0.2">
      <c r="A73" s="1">
        <f>Table1[[#This Row],[Frequency (GHz)]]</f>
        <v>29.5</v>
      </c>
      <c r="B73" s="1">
        <f t="shared" si="1"/>
        <v>5.0847457627118642</v>
      </c>
      <c r="C73" s="1" t="e">
        <f>IF(ISNUMBER(Table1[[#This Row],[Chip Core Area / Element (mm2)]]),SQRT(Table1[[#This Row],[Chip Core Area / Element (mm2)]]),#N/A)</f>
        <v>#N/A</v>
      </c>
      <c r="D73" s="1" t="e">
        <f>IF(OR(Table1[[#This Row],[Type (TX, RX, TRX, Oscillator)]]="TX", Table1[[#This Row],[Type (TX, RX, TRX, Oscillator)]]="TX FE"),C73,#N/A)</f>
        <v>#N/A</v>
      </c>
      <c r="E73" s="1" t="e">
        <f>IF(OR(Table1[[#This Row],[Type (TX, RX, TRX, Oscillator)]]="RX", Table1[[#This Row],[Type (TX, RX, TRX, Oscillator)]]="RX FE"),C73,#N/A)</f>
        <v>#N/A</v>
      </c>
      <c r="F73" s="1" t="e">
        <f>IF(OR(Table1[[#This Row],[Type (TX, RX, TRX, Oscillator)]]="TRX", Table1[[#This Row],[Type (TX, RX, TRX, Oscillator)]]="TRX FE"),C73,#N/A)</f>
        <v>#N/A</v>
      </c>
      <c r="G73" s="1" t="e">
        <f>IF(Table1[[#This Row],[Type (TX, RX, TRX, Oscillator)]]="Oscillator",C73,#N/A)</f>
        <v>#N/A</v>
      </c>
      <c r="H73" s="1" t="e">
        <f>IF(Table1[[#This Row],[Type (TX, RX, TRX, Oscillator)]]="Relay",C73,#N/A)</f>
        <v>#N/A</v>
      </c>
      <c r="I73" s="1">
        <f>IF(ISNUMBER(Table1[[#This Row],[Array Aperture Area / Element (mm2)]]),SQRT(Table1[[#This Row],[Array Aperture Area / Element (mm2)]]),#N/A)</f>
        <v>5</v>
      </c>
      <c r="J73" s="1" t="e">
        <f>IF(OR(Table1[[#This Row],[Type (TX, RX, TRX, Oscillator)]]="TX",Table1[[#This Row],[Type (TX, RX, TRX, Oscillator)]]="TX FE"),I73,#N/A)</f>
        <v>#N/A</v>
      </c>
      <c r="K73" s="1" t="e">
        <f>IF(OR(Table1[[#This Row],[Type (TX, RX, TRX, Oscillator)]]="RX",Table1[[#This Row],[Type (TX, RX, TRX, Oscillator)]]="RX FE"),I73,#N/A)</f>
        <v>#N/A</v>
      </c>
      <c r="L73" s="1" t="e">
        <f>IF(OR(Table1[[#This Row],[Type (TX, RX, TRX, Oscillator)]]="TRX", Table1[[#This Row],[Type (TX, RX, TRX, Oscillator)]]="TRX FE"),I73,#N/A)</f>
        <v>#N/A</v>
      </c>
      <c r="M73" s="1" t="e">
        <f>IF(Table1[[#This Row],[Type (TX, RX, TRX, Oscillator)]]="Oscillator",I73,#N/A)</f>
        <v>#N/A</v>
      </c>
      <c r="N73" s="1">
        <f>IF(Table1[[#This Row],[Type (TX, RX, TRX, Oscillator)]]="Relay",I73,#N/A)</f>
        <v>5</v>
      </c>
    </row>
    <row r="74" spans="1:14" x14ac:dyDescent="0.2">
      <c r="A74" s="1">
        <f>Table1[[#This Row],[Frequency (GHz)]]</f>
        <v>19</v>
      </c>
      <c r="B74" s="1">
        <f t="shared" si="1"/>
        <v>7.8947368421052637</v>
      </c>
      <c r="C74" s="1">
        <f>IF(ISNUMBER(Table1[[#This Row],[Chip Core Area / Element (mm2)]]),SQRT(Table1[[#This Row],[Chip Core Area / Element (mm2)]]),#N/A)</f>
        <v>1.6355427233796125</v>
      </c>
      <c r="D74" s="1" t="e">
        <f>IF(OR(Table1[[#This Row],[Type (TX, RX, TRX, Oscillator)]]="TX", Table1[[#This Row],[Type (TX, RX, TRX, Oscillator)]]="TX FE"),C74,#N/A)</f>
        <v>#N/A</v>
      </c>
      <c r="E74" s="1" t="e">
        <f>IF(OR(Table1[[#This Row],[Type (TX, RX, TRX, Oscillator)]]="RX", Table1[[#This Row],[Type (TX, RX, TRX, Oscillator)]]="RX FE"),C74,#N/A)</f>
        <v>#N/A</v>
      </c>
      <c r="F74" s="1">
        <f>IF(OR(Table1[[#This Row],[Type (TX, RX, TRX, Oscillator)]]="TRX", Table1[[#This Row],[Type (TX, RX, TRX, Oscillator)]]="TRX FE"),C74,#N/A)</f>
        <v>1.6355427233796125</v>
      </c>
      <c r="G74" s="1" t="e">
        <f>IF(Table1[[#This Row],[Type (TX, RX, TRX, Oscillator)]]="Oscillator",C74,#N/A)</f>
        <v>#N/A</v>
      </c>
      <c r="H74" s="1" t="e">
        <f>IF(Table1[[#This Row],[Type (TX, RX, TRX, Oscillator)]]="Relay",C74,#N/A)</f>
        <v>#N/A</v>
      </c>
      <c r="I74" s="1" t="e">
        <f>IF(ISNUMBER(Table1[[#This Row],[Array Aperture Area / Element (mm2)]]),SQRT(Table1[[#This Row],[Array Aperture Area / Element (mm2)]]),#N/A)</f>
        <v>#N/A</v>
      </c>
      <c r="J74" s="1" t="e">
        <f>IF(OR(Table1[[#This Row],[Type (TX, RX, TRX, Oscillator)]]="TX",Table1[[#This Row],[Type (TX, RX, TRX, Oscillator)]]="TX FE"),I74,#N/A)</f>
        <v>#N/A</v>
      </c>
      <c r="K74" s="1" t="e">
        <f>IF(OR(Table1[[#This Row],[Type (TX, RX, TRX, Oscillator)]]="RX",Table1[[#This Row],[Type (TX, RX, TRX, Oscillator)]]="RX FE"),I74,#N/A)</f>
        <v>#N/A</v>
      </c>
      <c r="L74" s="1" t="e">
        <f>IF(OR(Table1[[#This Row],[Type (TX, RX, TRX, Oscillator)]]="TRX", Table1[[#This Row],[Type (TX, RX, TRX, Oscillator)]]="TRX FE"),I74,#N/A)</f>
        <v>#N/A</v>
      </c>
      <c r="M74" s="1" t="e">
        <f>IF(Table1[[#This Row],[Type (TX, RX, TRX, Oscillator)]]="Oscillator",I74,#N/A)</f>
        <v>#N/A</v>
      </c>
      <c r="N74" s="1" t="e">
        <f>IF(Table1[[#This Row],[Type (TX, RX, TRX, Oscillator)]]="Relay",I74,#N/A)</f>
        <v>#N/A</v>
      </c>
    </row>
    <row r="75" spans="1:14" x14ac:dyDescent="0.2">
      <c r="A75" s="1">
        <f>Table1[[#This Row],[Frequency (GHz)]]</f>
        <v>27</v>
      </c>
      <c r="B75" s="1">
        <f t="shared" si="1"/>
        <v>5.5555555555555554</v>
      </c>
      <c r="C75" s="1">
        <f>IF(ISNUMBER(Table1[[#This Row],[Chip Core Area / Element (mm2)]]),SQRT(Table1[[#This Row],[Chip Core Area / Element (mm2)]]),#N/A)</f>
        <v>1.6355427233796125</v>
      </c>
      <c r="D75" s="1" t="e">
        <f>IF(OR(Table1[[#This Row],[Type (TX, RX, TRX, Oscillator)]]="TX", Table1[[#This Row],[Type (TX, RX, TRX, Oscillator)]]="TX FE"),C75,#N/A)</f>
        <v>#N/A</v>
      </c>
      <c r="E75" s="1" t="e">
        <f>IF(OR(Table1[[#This Row],[Type (TX, RX, TRX, Oscillator)]]="RX", Table1[[#This Row],[Type (TX, RX, TRX, Oscillator)]]="RX FE"),C75,#N/A)</f>
        <v>#N/A</v>
      </c>
      <c r="F75" s="1">
        <f>IF(OR(Table1[[#This Row],[Type (TX, RX, TRX, Oscillator)]]="TRX", Table1[[#This Row],[Type (TX, RX, TRX, Oscillator)]]="TRX FE"),C75,#N/A)</f>
        <v>1.6355427233796125</v>
      </c>
      <c r="G75" s="1" t="e">
        <f>IF(Table1[[#This Row],[Type (TX, RX, TRX, Oscillator)]]="Oscillator",C75,#N/A)</f>
        <v>#N/A</v>
      </c>
      <c r="H75" s="1" t="e">
        <f>IF(Table1[[#This Row],[Type (TX, RX, TRX, Oscillator)]]="Relay",C75,#N/A)</f>
        <v>#N/A</v>
      </c>
      <c r="I75" s="1" t="e">
        <f>IF(ISNUMBER(Table1[[#This Row],[Array Aperture Area / Element (mm2)]]),SQRT(Table1[[#This Row],[Array Aperture Area / Element (mm2)]]),#N/A)</f>
        <v>#N/A</v>
      </c>
      <c r="J75" s="1" t="e">
        <f>IF(OR(Table1[[#This Row],[Type (TX, RX, TRX, Oscillator)]]="TX",Table1[[#This Row],[Type (TX, RX, TRX, Oscillator)]]="TX FE"),I75,#N/A)</f>
        <v>#N/A</v>
      </c>
      <c r="K75" s="1" t="e">
        <f>IF(OR(Table1[[#This Row],[Type (TX, RX, TRX, Oscillator)]]="RX",Table1[[#This Row],[Type (TX, RX, TRX, Oscillator)]]="RX FE"),I75,#N/A)</f>
        <v>#N/A</v>
      </c>
      <c r="L75" s="1" t="e">
        <f>IF(OR(Table1[[#This Row],[Type (TX, RX, TRX, Oscillator)]]="TRX", Table1[[#This Row],[Type (TX, RX, TRX, Oscillator)]]="TRX FE"),I75,#N/A)</f>
        <v>#N/A</v>
      </c>
      <c r="M75" s="1" t="e">
        <f>IF(Table1[[#This Row],[Type (TX, RX, TRX, Oscillator)]]="Oscillator",I75,#N/A)</f>
        <v>#N/A</v>
      </c>
      <c r="N75" s="1" t="e">
        <f>IF(Table1[[#This Row],[Type (TX, RX, TRX, Oscillator)]]="Relay",I75,#N/A)</f>
        <v>#N/A</v>
      </c>
    </row>
    <row r="76" spans="1:14" x14ac:dyDescent="0.2">
      <c r="A76" s="1">
        <f>Table1[[#This Row],[Frequency (GHz)]]</f>
        <v>11.7</v>
      </c>
      <c r="B76" s="1">
        <f t="shared" si="1"/>
        <v>12.820512820512819</v>
      </c>
      <c r="C76" s="1" t="e">
        <f>IF(ISNUMBER(Table1[[#This Row],[Chip Core Area / Element (mm2)]]),SQRT(Table1[[#This Row],[Chip Core Area / Element (mm2)]]),#N/A)</f>
        <v>#N/A</v>
      </c>
      <c r="D76" s="1" t="e">
        <f>IF(OR(Table1[[#This Row],[Type (TX, RX, TRX, Oscillator)]]="TX", Table1[[#This Row],[Type (TX, RX, TRX, Oscillator)]]="TX FE"),C76,#N/A)</f>
        <v>#N/A</v>
      </c>
      <c r="E76" s="1" t="e">
        <f>IF(OR(Table1[[#This Row],[Type (TX, RX, TRX, Oscillator)]]="RX", Table1[[#This Row],[Type (TX, RX, TRX, Oscillator)]]="RX FE"),C76,#N/A)</f>
        <v>#N/A</v>
      </c>
      <c r="F76" s="1" t="e">
        <f>IF(OR(Table1[[#This Row],[Type (TX, RX, TRX, Oscillator)]]="TRX", Table1[[#This Row],[Type (TX, RX, TRX, Oscillator)]]="TRX FE"),C76,#N/A)</f>
        <v>#N/A</v>
      </c>
      <c r="G76" s="1" t="e">
        <f>IF(Table1[[#This Row],[Type (TX, RX, TRX, Oscillator)]]="Oscillator",C76,#N/A)</f>
        <v>#N/A</v>
      </c>
      <c r="H76" s="1" t="e">
        <f>IF(Table1[[#This Row],[Type (TX, RX, TRX, Oscillator)]]="Relay",C76,#N/A)</f>
        <v>#N/A</v>
      </c>
      <c r="I76" s="1">
        <f>IF(ISNUMBER(Table1[[#This Row],[Array Aperture Area / Element (mm2)]]),SQRT(Table1[[#This Row],[Array Aperture Area / Element (mm2)]]),#N/A)</f>
        <v>1.1345945035562264</v>
      </c>
      <c r="J76" s="1" t="e">
        <f>IF(OR(Table1[[#This Row],[Type (TX, RX, TRX, Oscillator)]]="TX",Table1[[#This Row],[Type (TX, RX, TRX, Oscillator)]]="TX FE"),I76,#N/A)</f>
        <v>#N/A</v>
      </c>
      <c r="K76" s="1">
        <f>IF(OR(Table1[[#This Row],[Type (TX, RX, TRX, Oscillator)]]="RX",Table1[[#This Row],[Type (TX, RX, TRX, Oscillator)]]="RX FE"),I76,#N/A)</f>
        <v>1.1345945035562264</v>
      </c>
      <c r="L76" s="1" t="e">
        <f>IF(OR(Table1[[#This Row],[Type (TX, RX, TRX, Oscillator)]]="TRX", Table1[[#This Row],[Type (TX, RX, TRX, Oscillator)]]="TRX FE"),I76,#N/A)</f>
        <v>#N/A</v>
      </c>
      <c r="M76" s="1" t="e">
        <f>IF(Table1[[#This Row],[Type (TX, RX, TRX, Oscillator)]]="Oscillator",I76,#N/A)</f>
        <v>#N/A</v>
      </c>
      <c r="N76" s="1" t="e">
        <f>IF(Table1[[#This Row],[Type (TX, RX, TRX, Oscillator)]]="Relay",I76,#N/A)</f>
        <v>#N/A</v>
      </c>
    </row>
    <row r="77" spans="1:14" x14ac:dyDescent="0.2">
      <c r="A77" s="1">
        <f>Table1[[#This Row],[Frequency (GHz)]]</f>
        <v>140</v>
      </c>
      <c r="B77" s="1">
        <f t="shared" si="1"/>
        <v>1.0714285714285714</v>
      </c>
      <c r="C77" s="1">
        <f>IF(ISNUMBER(Table1[[#This Row],[Chip Core Area / Element (mm2)]]),SQRT(Table1[[#This Row],[Chip Core Area / Element (mm2)]]),#N/A)</f>
        <v>1.9614280511912743</v>
      </c>
      <c r="D77" s="1" t="e">
        <f>IF(OR(Table1[[#This Row],[Type (TX, RX, TRX, Oscillator)]]="TX", Table1[[#This Row],[Type (TX, RX, TRX, Oscillator)]]="TX FE"),C77,#N/A)</f>
        <v>#N/A</v>
      </c>
      <c r="E77" s="1">
        <f>IF(OR(Table1[[#This Row],[Type (TX, RX, TRX, Oscillator)]]="RX", Table1[[#This Row],[Type (TX, RX, TRX, Oscillator)]]="RX FE"),C77,#N/A)</f>
        <v>1.9614280511912743</v>
      </c>
      <c r="F77" s="1" t="e">
        <f>IF(OR(Table1[[#This Row],[Type (TX, RX, TRX, Oscillator)]]="TRX", Table1[[#This Row],[Type (TX, RX, TRX, Oscillator)]]="TRX FE"),C77,#N/A)</f>
        <v>#N/A</v>
      </c>
      <c r="G77" s="1" t="e">
        <f>IF(Table1[[#This Row],[Type (TX, RX, TRX, Oscillator)]]="Oscillator",C77,#N/A)</f>
        <v>#N/A</v>
      </c>
      <c r="H77" s="1" t="e">
        <f>IF(Table1[[#This Row],[Type (TX, RX, TRX, Oscillator)]]="Relay",C77,#N/A)</f>
        <v>#N/A</v>
      </c>
      <c r="I77" s="1" t="e">
        <f>IF(ISNUMBER(Table1[[#This Row],[Array Aperture Area / Element (mm2)]]),SQRT(Table1[[#This Row],[Array Aperture Area / Element (mm2)]]),#N/A)</f>
        <v>#N/A</v>
      </c>
      <c r="J77" s="1" t="e">
        <f>IF(OR(Table1[[#This Row],[Type (TX, RX, TRX, Oscillator)]]="TX",Table1[[#This Row],[Type (TX, RX, TRX, Oscillator)]]="TX FE"),I77,#N/A)</f>
        <v>#N/A</v>
      </c>
      <c r="K77" s="1" t="e">
        <f>IF(OR(Table1[[#This Row],[Type (TX, RX, TRX, Oscillator)]]="RX",Table1[[#This Row],[Type (TX, RX, TRX, Oscillator)]]="RX FE"),I77,#N/A)</f>
        <v>#N/A</v>
      </c>
      <c r="L77" s="1" t="e">
        <f>IF(OR(Table1[[#This Row],[Type (TX, RX, TRX, Oscillator)]]="TRX", Table1[[#This Row],[Type (TX, RX, TRX, Oscillator)]]="TRX FE"),I77,#N/A)</f>
        <v>#N/A</v>
      </c>
      <c r="M77" s="1" t="e">
        <f>IF(Table1[[#This Row],[Type (TX, RX, TRX, Oscillator)]]="Oscillator",I77,#N/A)</f>
        <v>#N/A</v>
      </c>
      <c r="N77" s="1" t="e">
        <f>IF(Table1[[#This Row],[Type (TX, RX, TRX, Oscillator)]]="Relay",I77,#N/A)</f>
        <v>#N/A</v>
      </c>
    </row>
    <row r="78" spans="1:14" x14ac:dyDescent="0.2">
      <c r="A78" s="1">
        <f>Table1[[#This Row],[Frequency (GHz)]]</f>
        <v>14</v>
      </c>
      <c r="B78" s="1">
        <f t="shared" si="1"/>
        <v>10.714285714285714</v>
      </c>
      <c r="C78" s="1" t="e">
        <f>IF(ISNUMBER(Table1[[#This Row],[Chip Core Area / Element (mm2)]]),SQRT(Table1[[#This Row],[Chip Core Area / Element (mm2)]]),#N/A)</f>
        <v>#N/A</v>
      </c>
      <c r="D78" s="1" t="e">
        <f>IF(OR(Table1[[#This Row],[Type (TX, RX, TRX, Oscillator)]]="TX", Table1[[#This Row],[Type (TX, RX, TRX, Oscillator)]]="TX FE"),C78,#N/A)</f>
        <v>#N/A</v>
      </c>
      <c r="E78" s="1" t="e">
        <f>IF(OR(Table1[[#This Row],[Type (TX, RX, TRX, Oscillator)]]="RX", Table1[[#This Row],[Type (TX, RX, TRX, Oscillator)]]="RX FE"),C78,#N/A)</f>
        <v>#N/A</v>
      </c>
      <c r="F78" s="1" t="e">
        <f>IF(OR(Table1[[#This Row],[Type (TX, RX, TRX, Oscillator)]]="TRX", Table1[[#This Row],[Type (TX, RX, TRX, Oscillator)]]="TRX FE"),C78,#N/A)</f>
        <v>#N/A</v>
      </c>
      <c r="G78" s="1" t="e">
        <f>IF(Table1[[#This Row],[Type (TX, RX, TRX, Oscillator)]]="Oscillator",C78,#N/A)</f>
        <v>#N/A</v>
      </c>
      <c r="H78" s="1" t="e">
        <f>IF(Table1[[#This Row],[Type (TX, RX, TRX, Oscillator)]]="Relay",C78,#N/A)</f>
        <v>#N/A</v>
      </c>
      <c r="I78" s="1">
        <f>IF(ISNUMBER(Table1[[#This Row],[Array Aperture Area / Element (mm2)]]),SQRT(Table1[[#This Row],[Array Aperture Area / Element (mm2)]]),#N/A)</f>
        <v>0.96798356778408168</v>
      </c>
      <c r="J78" s="1">
        <f>IF(OR(Table1[[#This Row],[Type (TX, RX, TRX, Oscillator)]]="TX",Table1[[#This Row],[Type (TX, RX, TRX, Oscillator)]]="TX FE"),I78,#N/A)</f>
        <v>0.96798356778408168</v>
      </c>
      <c r="K78" s="1" t="e">
        <f>IF(OR(Table1[[#This Row],[Type (TX, RX, TRX, Oscillator)]]="RX",Table1[[#This Row],[Type (TX, RX, TRX, Oscillator)]]="RX FE"),I78,#N/A)</f>
        <v>#N/A</v>
      </c>
      <c r="L78" s="1" t="e">
        <f>IF(OR(Table1[[#This Row],[Type (TX, RX, TRX, Oscillator)]]="TRX", Table1[[#This Row],[Type (TX, RX, TRX, Oscillator)]]="TRX FE"),I78,#N/A)</f>
        <v>#N/A</v>
      </c>
      <c r="M78" s="1" t="e">
        <f>IF(Table1[[#This Row],[Type (TX, RX, TRX, Oscillator)]]="Oscillator",I78,#N/A)</f>
        <v>#N/A</v>
      </c>
      <c r="N78" s="1" t="e">
        <f>IF(Table1[[#This Row],[Type (TX, RX, TRX, Oscillator)]]="Relay",I78,#N/A)</f>
        <v>#N/A</v>
      </c>
    </row>
    <row r="79" spans="1:14" x14ac:dyDescent="0.2">
      <c r="A79" s="1">
        <f>Table1[[#This Row],[Frequency (GHz)]]</f>
        <v>11.7</v>
      </c>
      <c r="B79" s="1">
        <f t="shared" si="1"/>
        <v>12.820512820512819</v>
      </c>
      <c r="C79" s="1" t="e">
        <f>IF(ISNUMBER(Table1[[#This Row],[Chip Core Area / Element (mm2)]]),SQRT(Table1[[#This Row],[Chip Core Area / Element (mm2)]]),#N/A)</f>
        <v>#N/A</v>
      </c>
      <c r="D79" s="1" t="e">
        <f>IF(OR(Table1[[#This Row],[Type (TX, RX, TRX, Oscillator)]]="TX", Table1[[#This Row],[Type (TX, RX, TRX, Oscillator)]]="TX FE"),C79,#N/A)</f>
        <v>#N/A</v>
      </c>
      <c r="E79" s="1" t="e">
        <f>IF(OR(Table1[[#This Row],[Type (TX, RX, TRX, Oscillator)]]="RX", Table1[[#This Row],[Type (TX, RX, TRX, Oscillator)]]="RX FE"),C79,#N/A)</f>
        <v>#N/A</v>
      </c>
      <c r="F79" s="1" t="e">
        <f>IF(OR(Table1[[#This Row],[Type (TX, RX, TRX, Oscillator)]]="TRX", Table1[[#This Row],[Type (TX, RX, TRX, Oscillator)]]="TRX FE"),C79,#N/A)</f>
        <v>#N/A</v>
      </c>
      <c r="G79" s="1" t="e">
        <f>IF(Table1[[#This Row],[Type (TX, RX, TRX, Oscillator)]]="Oscillator",C79,#N/A)</f>
        <v>#N/A</v>
      </c>
      <c r="H79" s="1" t="e">
        <f>IF(Table1[[#This Row],[Type (TX, RX, TRX, Oscillator)]]="Relay",C79,#N/A)</f>
        <v>#N/A</v>
      </c>
      <c r="I79" s="1">
        <f>IF(ISNUMBER(Table1[[#This Row],[Array Aperture Area / Element (mm2)]]),SQRT(Table1[[#This Row],[Array Aperture Area / Element (mm2)]]),#N/A)</f>
        <v>11.379463410020703</v>
      </c>
      <c r="J79" s="1" t="e">
        <f>IF(OR(Table1[[#This Row],[Type (TX, RX, TRX, Oscillator)]]="TX",Table1[[#This Row],[Type (TX, RX, TRX, Oscillator)]]="TX FE"),I79,#N/A)</f>
        <v>#N/A</v>
      </c>
      <c r="K79" s="1">
        <f>IF(OR(Table1[[#This Row],[Type (TX, RX, TRX, Oscillator)]]="RX",Table1[[#This Row],[Type (TX, RX, TRX, Oscillator)]]="RX FE"),I79,#N/A)</f>
        <v>11.379463410020703</v>
      </c>
      <c r="L79" s="1" t="e">
        <f>IF(OR(Table1[[#This Row],[Type (TX, RX, TRX, Oscillator)]]="TRX", Table1[[#This Row],[Type (TX, RX, TRX, Oscillator)]]="TRX FE"),I79,#N/A)</f>
        <v>#N/A</v>
      </c>
      <c r="M79" s="1" t="e">
        <f>IF(Table1[[#This Row],[Type (TX, RX, TRX, Oscillator)]]="Oscillator",I79,#N/A)</f>
        <v>#N/A</v>
      </c>
      <c r="N79" s="1" t="e">
        <f>IF(Table1[[#This Row],[Type (TX, RX, TRX, Oscillator)]]="Relay",I79,#N/A)</f>
        <v>#N/A</v>
      </c>
    </row>
    <row r="80" spans="1:14" x14ac:dyDescent="0.2">
      <c r="A80" s="1">
        <f>Table1[[#This Row],[Frequency (GHz)]]</f>
        <v>450</v>
      </c>
      <c r="B80" s="1">
        <f t="shared" si="1"/>
        <v>0.33333333333333331</v>
      </c>
      <c r="C80" s="1">
        <f>IF(ISNUMBER(Table1[[#This Row],[Chip Core Area / Element (mm2)]]),SQRT(Table1[[#This Row],[Chip Core Area / Element (mm2)]]),#N/A)</f>
        <v>0.26191601707417589</v>
      </c>
      <c r="D80" s="1" t="e">
        <f>IF(OR(Table1[[#This Row],[Type (TX, RX, TRX, Oscillator)]]="TX", Table1[[#This Row],[Type (TX, RX, TRX, Oscillator)]]="TX FE"),C80,#N/A)</f>
        <v>#N/A</v>
      </c>
      <c r="E80" s="1" t="e">
        <f>IF(OR(Table1[[#This Row],[Type (TX, RX, TRX, Oscillator)]]="RX", Table1[[#This Row],[Type (TX, RX, TRX, Oscillator)]]="RX FE"),C80,#N/A)</f>
        <v>#N/A</v>
      </c>
      <c r="F80" s="1" t="e">
        <f>IF(OR(Table1[[#This Row],[Type (TX, RX, TRX, Oscillator)]]="TRX", Table1[[#This Row],[Type (TX, RX, TRX, Oscillator)]]="TRX FE"),C80,#N/A)</f>
        <v>#N/A</v>
      </c>
      <c r="G80" s="1">
        <f>IF(Table1[[#This Row],[Type (TX, RX, TRX, Oscillator)]]="Oscillator",C80,#N/A)</f>
        <v>0.26191601707417589</v>
      </c>
      <c r="H80" s="1" t="e">
        <f>IF(Table1[[#This Row],[Type (TX, RX, TRX, Oscillator)]]="Relay",C80,#N/A)</f>
        <v>#N/A</v>
      </c>
      <c r="I80" s="1" t="e">
        <f>IF(ISNUMBER(Table1[[#This Row],[Array Aperture Area / Element (mm2)]]),SQRT(Table1[[#This Row],[Array Aperture Area / Element (mm2)]]),#N/A)</f>
        <v>#N/A</v>
      </c>
      <c r="J80" s="1" t="e">
        <f>IF(OR(Table1[[#This Row],[Type (TX, RX, TRX, Oscillator)]]="TX",Table1[[#This Row],[Type (TX, RX, TRX, Oscillator)]]="TX FE"),I80,#N/A)</f>
        <v>#N/A</v>
      </c>
      <c r="K80" s="1" t="e">
        <f>IF(OR(Table1[[#This Row],[Type (TX, RX, TRX, Oscillator)]]="RX",Table1[[#This Row],[Type (TX, RX, TRX, Oscillator)]]="RX FE"),I80,#N/A)</f>
        <v>#N/A</v>
      </c>
      <c r="L80" s="1" t="e">
        <f>IF(OR(Table1[[#This Row],[Type (TX, RX, TRX, Oscillator)]]="TRX", Table1[[#This Row],[Type (TX, RX, TRX, Oscillator)]]="TRX FE"),I80,#N/A)</f>
        <v>#N/A</v>
      </c>
      <c r="M80" s="1" t="e">
        <f>IF(Table1[[#This Row],[Type (TX, RX, TRX, Oscillator)]]="Oscillator",I80,#N/A)</f>
        <v>#N/A</v>
      </c>
      <c r="N80" s="1" t="e">
        <f>IF(Table1[[#This Row],[Type (TX, RX, TRX, Oscillator)]]="Relay",I80,#N/A)</f>
        <v>#N/A</v>
      </c>
    </row>
    <row r="81" spans="1:14" x14ac:dyDescent="0.2">
      <c r="A81" s="1">
        <f>Table1[[#This Row],[Frequency (GHz)]]</f>
        <v>30</v>
      </c>
      <c r="B81" s="1">
        <f t="shared" si="1"/>
        <v>5</v>
      </c>
      <c r="C81" s="1">
        <f>IF(ISNUMBER(Table1[[#This Row],[Chip Core Area / Element (mm2)]]),SQRT(Table1[[#This Row],[Chip Core Area / Element (mm2)]]),#N/A)</f>
        <v>1.6248076809271921</v>
      </c>
      <c r="D81" s="1">
        <f>IF(OR(Table1[[#This Row],[Type (TX, RX, TRX, Oscillator)]]="TX", Table1[[#This Row],[Type (TX, RX, TRX, Oscillator)]]="TX FE"),C81,#N/A)</f>
        <v>1.6248076809271921</v>
      </c>
      <c r="E81" s="1" t="e">
        <f>IF(OR(Table1[[#This Row],[Type (TX, RX, TRX, Oscillator)]]="RX", Table1[[#This Row],[Type (TX, RX, TRX, Oscillator)]]="RX FE"),C81,#N/A)</f>
        <v>#N/A</v>
      </c>
      <c r="F81" s="1" t="e">
        <f>IF(OR(Table1[[#This Row],[Type (TX, RX, TRX, Oscillator)]]="TRX", Table1[[#This Row],[Type (TX, RX, TRX, Oscillator)]]="TRX FE"),C81,#N/A)</f>
        <v>#N/A</v>
      </c>
      <c r="G81" s="1" t="e">
        <f>IF(Table1[[#This Row],[Type (TX, RX, TRX, Oscillator)]]="Oscillator",C81,#N/A)</f>
        <v>#N/A</v>
      </c>
      <c r="H81" s="1" t="e">
        <f>IF(Table1[[#This Row],[Type (TX, RX, TRX, Oscillator)]]="Relay",C81,#N/A)</f>
        <v>#N/A</v>
      </c>
      <c r="I81" s="1">
        <f>IF(ISNUMBER(Table1[[#This Row],[Array Aperture Area / Element (mm2)]]),SQRT(Table1[[#This Row],[Array Aperture Area / Element (mm2)]]),#N/A)</f>
        <v>7.6174142594452618</v>
      </c>
      <c r="J81" s="1">
        <f>IF(OR(Table1[[#This Row],[Type (TX, RX, TRX, Oscillator)]]="TX",Table1[[#This Row],[Type (TX, RX, TRX, Oscillator)]]="TX FE"),I81,#N/A)</f>
        <v>7.6174142594452618</v>
      </c>
      <c r="K81" s="1" t="e">
        <f>IF(OR(Table1[[#This Row],[Type (TX, RX, TRX, Oscillator)]]="RX",Table1[[#This Row],[Type (TX, RX, TRX, Oscillator)]]="RX FE"),I81,#N/A)</f>
        <v>#N/A</v>
      </c>
      <c r="L81" s="1" t="e">
        <f>IF(OR(Table1[[#This Row],[Type (TX, RX, TRX, Oscillator)]]="TRX", Table1[[#This Row],[Type (TX, RX, TRX, Oscillator)]]="TRX FE"),I81,#N/A)</f>
        <v>#N/A</v>
      </c>
      <c r="M81" s="1" t="e">
        <f>IF(Table1[[#This Row],[Type (TX, RX, TRX, Oscillator)]]="Oscillator",I81,#N/A)</f>
        <v>#N/A</v>
      </c>
      <c r="N81" s="1" t="e">
        <f>IF(Table1[[#This Row],[Type (TX, RX, TRX, Oscillator)]]="Relay",I81,#N/A)</f>
        <v>#N/A</v>
      </c>
    </row>
    <row r="82" spans="1:14" x14ac:dyDescent="0.2">
      <c r="A82" s="1">
        <f>Table1[[#This Row],[Frequency (GHz)]]</f>
        <v>18</v>
      </c>
      <c r="B82" s="1">
        <f t="shared" si="1"/>
        <v>8.3333333333333339</v>
      </c>
      <c r="C82" s="1">
        <f>IF(ISNUMBER(Table1[[#This Row],[Chip Core Area / Element (mm2)]]),SQRT(Table1[[#This Row],[Chip Core Area / Element (mm2)]]),#N/A)</f>
        <v>2.1407475329893524</v>
      </c>
      <c r="D82" s="1">
        <f>IF(OR(Table1[[#This Row],[Type (TX, RX, TRX, Oscillator)]]="TX", Table1[[#This Row],[Type (TX, RX, TRX, Oscillator)]]="TX FE"),C82,#N/A)</f>
        <v>2.1407475329893524</v>
      </c>
      <c r="E82" s="1" t="e">
        <f>IF(OR(Table1[[#This Row],[Type (TX, RX, TRX, Oscillator)]]="RX", Table1[[#This Row],[Type (TX, RX, TRX, Oscillator)]]="RX FE"),C82,#N/A)</f>
        <v>#N/A</v>
      </c>
      <c r="F82" s="1" t="e">
        <f>IF(OR(Table1[[#This Row],[Type (TX, RX, TRX, Oscillator)]]="TRX", Table1[[#This Row],[Type (TX, RX, TRX, Oscillator)]]="TRX FE"),C82,#N/A)</f>
        <v>#N/A</v>
      </c>
      <c r="G82" s="1" t="e">
        <f>IF(Table1[[#This Row],[Type (TX, RX, TRX, Oscillator)]]="Oscillator",C82,#N/A)</f>
        <v>#N/A</v>
      </c>
      <c r="H82" s="1" t="e">
        <f>IF(Table1[[#This Row],[Type (TX, RX, TRX, Oscillator)]]="Relay",C82,#N/A)</f>
        <v>#N/A</v>
      </c>
      <c r="I82" s="1">
        <f>IF(ISNUMBER(Table1[[#This Row],[Array Aperture Area / Element (mm2)]]),SQRT(Table1[[#This Row],[Array Aperture Area / Element (mm2)]]),#N/A)</f>
        <v>5.3385391260156556</v>
      </c>
      <c r="J82" s="1">
        <f>IF(OR(Table1[[#This Row],[Type (TX, RX, TRX, Oscillator)]]="TX",Table1[[#This Row],[Type (TX, RX, TRX, Oscillator)]]="TX FE"),I82,#N/A)</f>
        <v>5.3385391260156556</v>
      </c>
      <c r="K82" s="1" t="e">
        <f>IF(OR(Table1[[#This Row],[Type (TX, RX, TRX, Oscillator)]]="RX",Table1[[#This Row],[Type (TX, RX, TRX, Oscillator)]]="RX FE"),I82,#N/A)</f>
        <v>#N/A</v>
      </c>
      <c r="L82" s="1" t="e">
        <f>IF(OR(Table1[[#This Row],[Type (TX, RX, TRX, Oscillator)]]="TRX", Table1[[#This Row],[Type (TX, RX, TRX, Oscillator)]]="TRX FE"),I82,#N/A)</f>
        <v>#N/A</v>
      </c>
      <c r="M82" s="1" t="e">
        <f>IF(Table1[[#This Row],[Type (TX, RX, TRX, Oscillator)]]="Oscillator",I82,#N/A)</f>
        <v>#N/A</v>
      </c>
      <c r="N82" s="1" t="e">
        <f>IF(Table1[[#This Row],[Type (TX, RX, TRX, Oscillator)]]="Relay",I82,#N/A)</f>
        <v>#N/A</v>
      </c>
    </row>
    <row r="83" spans="1:14" x14ac:dyDescent="0.2">
      <c r="A83" s="1">
        <f>Table1[[#This Row],[Frequency (GHz)]]</f>
        <v>30</v>
      </c>
      <c r="B83" s="1">
        <f t="shared" si="1"/>
        <v>5</v>
      </c>
      <c r="C83" s="1">
        <f>IF(ISNUMBER(Table1[[#This Row],[Chip Core Area / Element (mm2)]]),SQRT(Table1[[#This Row],[Chip Core Area / Element (mm2)]]),#N/A)</f>
        <v>2.1407475329893524</v>
      </c>
      <c r="D83" s="1">
        <f>IF(OR(Table1[[#This Row],[Type (TX, RX, TRX, Oscillator)]]="TX", Table1[[#This Row],[Type (TX, RX, TRX, Oscillator)]]="TX FE"),C83,#N/A)</f>
        <v>2.1407475329893524</v>
      </c>
      <c r="E83" s="1" t="e">
        <f>IF(OR(Table1[[#This Row],[Type (TX, RX, TRX, Oscillator)]]="RX", Table1[[#This Row],[Type (TX, RX, TRX, Oscillator)]]="RX FE"),C83,#N/A)</f>
        <v>#N/A</v>
      </c>
      <c r="F83" s="1" t="e">
        <f>IF(OR(Table1[[#This Row],[Type (TX, RX, TRX, Oscillator)]]="TRX", Table1[[#This Row],[Type (TX, RX, TRX, Oscillator)]]="TRX FE"),C83,#N/A)</f>
        <v>#N/A</v>
      </c>
      <c r="G83" s="1" t="e">
        <f>IF(Table1[[#This Row],[Type (TX, RX, TRX, Oscillator)]]="Oscillator",C83,#N/A)</f>
        <v>#N/A</v>
      </c>
      <c r="H83" s="1" t="e">
        <f>IF(Table1[[#This Row],[Type (TX, RX, TRX, Oscillator)]]="Relay",C83,#N/A)</f>
        <v>#N/A</v>
      </c>
      <c r="I83" s="1">
        <f>IF(ISNUMBER(Table1[[#This Row],[Array Aperture Area / Element (mm2)]]),SQRT(Table1[[#This Row],[Array Aperture Area / Element (mm2)]]),#N/A)</f>
        <v>5.3385391260156556</v>
      </c>
      <c r="J83" s="1">
        <f>IF(OR(Table1[[#This Row],[Type (TX, RX, TRX, Oscillator)]]="TX",Table1[[#This Row],[Type (TX, RX, TRX, Oscillator)]]="TX FE"),I83,#N/A)</f>
        <v>5.3385391260156556</v>
      </c>
      <c r="K83" s="1" t="e">
        <f>IF(OR(Table1[[#This Row],[Type (TX, RX, TRX, Oscillator)]]="RX",Table1[[#This Row],[Type (TX, RX, TRX, Oscillator)]]="RX FE"),I83,#N/A)</f>
        <v>#N/A</v>
      </c>
      <c r="L83" s="1" t="e">
        <f>IF(OR(Table1[[#This Row],[Type (TX, RX, TRX, Oscillator)]]="TRX", Table1[[#This Row],[Type (TX, RX, TRX, Oscillator)]]="TRX FE"),I83,#N/A)</f>
        <v>#N/A</v>
      </c>
      <c r="M83" s="1" t="e">
        <f>IF(Table1[[#This Row],[Type (TX, RX, TRX, Oscillator)]]="Oscillator",I83,#N/A)</f>
        <v>#N/A</v>
      </c>
      <c r="N83" s="1" t="e">
        <f>IF(Table1[[#This Row],[Type (TX, RX, TRX, Oscillator)]]="Relay",I83,#N/A)</f>
        <v>#N/A</v>
      </c>
    </row>
    <row r="84" spans="1:14" x14ac:dyDescent="0.2">
      <c r="A84" s="1">
        <f>Table1[[#This Row],[Frequency (GHz)]]</f>
        <v>50</v>
      </c>
      <c r="B84" s="1">
        <f t="shared" si="1"/>
        <v>3</v>
      </c>
      <c r="C84" s="1">
        <f>IF(ISNUMBER(Table1[[#This Row],[Chip Core Area / Element (mm2)]]),SQRT(Table1[[#This Row],[Chip Core Area / Element (mm2)]]),#N/A)</f>
        <v>2.1407475329893524</v>
      </c>
      <c r="D84" s="1">
        <f>IF(OR(Table1[[#This Row],[Type (TX, RX, TRX, Oscillator)]]="TX", Table1[[#This Row],[Type (TX, RX, TRX, Oscillator)]]="TX FE"),C84,#N/A)</f>
        <v>2.1407475329893524</v>
      </c>
      <c r="E84" s="1" t="e">
        <f>IF(OR(Table1[[#This Row],[Type (TX, RX, TRX, Oscillator)]]="RX", Table1[[#This Row],[Type (TX, RX, TRX, Oscillator)]]="RX FE"),C84,#N/A)</f>
        <v>#N/A</v>
      </c>
      <c r="F84" s="1" t="e">
        <f>IF(OR(Table1[[#This Row],[Type (TX, RX, TRX, Oscillator)]]="TRX", Table1[[#This Row],[Type (TX, RX, TRX, Oscillator)]]="TRX FE"),C84,#N/A)</f>
        <v>#N/A</v>
      </c>
      <c r="G84" s="1" t="e">
        <f>IF(Table1[[#This Row],[Type (TX, RX, TRX, Oscillator)]]="Oscillator",C84,#N/A)</f>
        <v>#N/A</v>
      </c>
      <c r="H84" s="1" t="e">
        <f>IF(Table1[[#This Row],[Type (TX, RX, TRX, Oscillator)]]="Relay",C84,#N/A)</f>
        <v>#N/A</v>
      </c>
      <c r="I84" s="1">
        <f>IF(ISNUMBER(Table1[[#This Row],[Array Aperture Area / Element (mm2)]]),SQRT(Table1[[#This Row],[Array Aperture Area / Element (mm2)]]),#N/A)</f>
        <v>5.3385391260156556</v>
      </c>
      <c r="J84" s="1">
        <f>IF(OR(Table1[[#This Row],[Type (TX, RX, TRX, Oscillator)]]="TX",Table1[[#This Row],[Type (TX, RX, TRX, Oscillator)]]="TX FE"),I84,#N/A)</f>
        <v>5.3385391260156556</v>
      </c>
      <c r="K84" s="1" t="e">
        <f>IF(OR(Table1[[#This Row],[Type (TX, RX, TRX, Oscillator)]]="RX",Table1[[#This Row],[Type (TX, RX, TRX, Oscillator)]]="RX FE"),I84,#N/A)</f>
        <v>#N/A</v>
      </c>
      <c r="L84" s="1" t="e">
        <f>IF(OR(Table1[[#This Row],[Type (TX, RX, TRX, Oscillator)]]="TRX", Table1[[#This Row],[Type (TX, RX, TRX, Oscillator)]]="TRX FE"),I84,#N/A)</f>
        <v>#N/A</v>
      </c>
      <c r="M84" s="1" t="e">
        <f>IF(Table1[[#This Row],[Type (TX, RX, TRX, Oscillator)]]="Oscillator",I84,#N/A)</f>
        <v>#N/A</v>
      </c>
      <c r="N84" s="1" t="e">
        <f>IF(Table1[[#This Row],[Type (TX, RX, TRX, Oscillator)]]="Relay",I84,#N/A)</f>
        <v>#N/A</v>
      </c>
    </row>
    <row r="85" spans="1:14" x14ac:dyDescent="0.2">
      <c r="A85" s="1">
        <f>Table1[[#This Row],[Frequency (GHz)]]</f>
        <v>310</v>
      </c>
      <c r="B85" s="1">
        <f t="shared" si="1"/>
        <v>0.4838709677419355</v>
      </c>
      <c r="C85" s="1">
        <f>IF(ISNUMBER(Table1[[#This Row],[Chip Core Area / Element (mm2)]]),SQRT(Table1[[#This Row],[Chip Core Area / Element (mm2)]]),#N/A)</f>
        <v>0.76892782496148493</v>
      </c>
      <c r="D85" s="1" t="e">
        <f>IF(OR(Table1[[#This Row],[Type (TX, RX, TRX, Oscillator)]]="TX", Table1[[#This Row],[Type (TX, RX, TRX, Oscillator)]]="TX FE"),C85,#N/A)</f>
        <v>#N/A</v>
      </c>
      <c r="E85" s="1" t="e">
        <f>IF(OR(Table1[[#This Row],[Type (TX, RX, TRX, Oscillator)]]="RX", Table1[[#This Row],[Type (TX, RX, TRX, Oscillator)]]="RX FE"),C85,#N/A)</f>
        <v>#N/A</v>
      </c>
      <c r="F85" s="1">
        <f>IF(OR(Table1[[#This Row],[Type (TX, RX, TRX, Oscillator)]]="TRX", Table1[[#This Row],[Type (TX, RX, TRX, Oscillator)]]="TRX FE"),C85,#N/A)</f>
        <v>0.76892782496148493</v>
      </c>
      <c r="G85" s="1" t="e">
        <f>IF(Table1[[#This Row],[Type (TX, RX, TRX, Oscillator)]]="Oscillator",C85,#N/A)</f>
        <v>#N/A</v>
      </c>
      <c r="H85" s="1" t="e">
        <f>IF(Table1[[#This Row],[Type (TX, RX, TRX, Oscillator)]]="Relay",C85,#N/A)</f>
        <v>#N/A</v>
      </c>
      <c r="I85" s="1">
        <f>IF(ISNUMBER(Table1[[#This Row],[Array Aperture Area / Element (mm2)]]),SQRT(Table1[[#This Row],[Array Aperture Area / Element (mm2)]]),#N/A)</f>
        <v>0.76892782496148493</v>
      </c>
      <c r="J85" s="1" t="e">
        <f>IF(OR(Table1[[#This Row],[Type (TX, RX, TRX, Oscillator)]]="TX",Table1[[#This Row],[Type (TX, RX, TRX, Oscillator)]]="TX FE"),I85,#N/A)</f>
        <v>#N/A</v>
      </c>
      <c r="K85" s="1" t="e">
        <f>IF(OR(Table1[[#This Row],[Type (TX, RX, TRX, Oscillator)]]="RX",Table1[[#This Row],[Type (TX, RX, TRX, Oscillator)]]="RX FE"),I85,#N/A)</f>
        <v>#N/A</v>
      </c>
      <c r="L85" s="1">
        <f>IF(OR(Table1[[#This Row],[Type (TX, RX, TRX, Oscillator)]]="TRX", Table1[[#This Row],[Type (TX, RX, TRX, Oscillator)]]="TRX FE"),I85,#N/A)</f>
        <v>0.76892782496148493</v>
      </c>
      <c r="M85" s="1" t="e">
        <f>IF(Table1[[#This Row],[Type (TX, RX, TRX, Oscillator)]]="Oscillator",I85,#N/A)</f>
        <v>#N/A</v>
      </c>
      <c r="N85" s="1" t="e">
        <f>IF(Table1[[#This Row],[Type (TX, RX, TRX, Oscillator)]]="Relay",I85,#N/A)</f>
        <v>#N/A</v>
      </c>
    </row>
    <row r="86" spans="1:14" x14ac:dyDescent="0.2">
      <c r="A86" s="1">
        <f>Table1[[#This Row],[Frequency (GHz)]]</f>
        <v>28</v>
      </c>
      <c r="B86" s="1">
        <f t="shared" si="1"/>
        <v>5.3571428571428568</v>
      </c>
      <c r="C86" s="1">
        <f>IF(ISNUMBER(Table1[[#This Row],[Chip Core Area / Element (mm2)]]),SQRT(Table1[[#This Row],[Chip Core Area / Element (mm2)]]),#N/A)</f>
        <v>0.54662601474865791</v>
      </c>
      <c r="D86" s="1" t="e">
        <f>IF(OR(Table1[[#This Row],[Type (TX, RX, TRX, Oscillator)]]="TX", Table1[[#This Row],[Type (TX, RX, TRX, Oscillator)]]="TX FE"),C86,#N/A)</f>
        <v>#N/A</v>
      </c>
      <c r="E86" s="1" t="e">
        <f>IF(OR(Table1[[#This Row],[Type (TX, RX, TRX, Oscillator)]]="RX", Table1[[#This Row],[Type (TX, RX, TRX, Oscillator)]]="RX FE"),C86,#N/A)</f>
        <v>#N/A</v>
      </c>
      <c r="F86" s="1" t="e">
        <f>IF(OR(Table1[[#This Row],[Type (TX, RX, TRX, Oscillator)]]="TRX", Table1[[#This Row],[Type (TX, RX, TRX, Oscillator)]]="TRX FE"),C86,#N/A)</f>
        <v>#N/A</v>
      </c>
      <c r="G86" s="1" t="e">
        <f>IF(Table1[[#This Row],[Type (TX, RX, TRX, Oscillator)]]="Oscillator",C86,#N/A)</f>
        <v>#N/A</v>
      </c>
      <c r="H86" s="1">
        <f>IF(Table1[[#This Row],[Type (TX, RX, TRX, Oscillator)]]="Relay",C86,#N/A)</f>
        <v>0.54662601474865791</v>
      </c>
      <c r="I86" s="1" t="e">
        <f>IF(ISNUMBER(Table1[[#This Row],[Array Aperture Area / Element (mm2)]]),SQRT(Table1[[#This Row],[Array Aperture Area / Element (mm2)]]),#N/A)</f>
        <v>#N/A</v>
      </c>
      <c r="J86" s="1" t="e">
        <f>IF(OR(Table1[[#This Row],[Type (TX, RX, TRX, Oscillator)]]="TX",Table1[[#This Row],[Type (TX, RX, TRX, Oscillator)]]="TX FE"),I86,#N/A)</f>
        <v>#N/A</v>
      </c>
      <c r="K86" s="1" t="e">
        <f>IF(OR(Table1[[#This Row],[Type (TX, RX, TRX, Oscillator)]]="RX",Table1[[#This Row],[Type (TX, RX, TRX, Oscillator)]]="RX FE"),I86,#N/A)</f>
        <v>#N/A</v>
      </c>
      <c r="L86" s="1" t="e">
        <f>IF(OR(Table1[[#This Row],[Type (TX, RX, TRX, Oscillator)]]="TRX", Table1[[#This Row],[Type (TX, RX, TRX, Oscillator)]]="TRX FE"),I86,#N/A)</f>
        <v>#N/A</v>
      </c>
      <c r="M86" s="1" t="e">
        <f>IF(Table1[[#This Row],[Type (TX, RX, TRX, Oscillator)]]="Oscillator",I86,#N/A)</f>
        <v>#N/A</v>
      </c>
      <c r="N86" s="1" t="e">
        <f>IF(Table1[[#This Row],[Type (TX, RX, TRX, Oscillator)]]="Relay",I86,#N/A)</f>
        <v>#N/A</v>
      </c>
    </row>
    <row r="87" spans="1:14" x14ac:dyDescent="0.2">
      <c r="A87" s="1">
        <f>Table1[[#This Row],[Frequency (GHz)]]</f>
        <v>15</v>
      </c>
      <c r="B87" s="1">
        <f t="shared" si="1"/>
        <v>10</v>
      </c>
      <c r="C87" s="1">
        <f>IF(ISNUMBER(Table1[[#This Row],[Chip Core Area / Element (mm2)]]),SQRT(Table1[[#This Row],[Chip Core Area / Element (mm2)]]),#N/A)</f>
        <v>1.9064758062981024</v>
      </c>
      <c r="D87" s="1" t="e">
        <f>IF(OR(Table1[[#This Row],[Type (TX, RX, TRX, Oscillator)]]="TX", Table1[[#This Row],[Type (TX, RX, TRX, Oscillator)]]="TX FE"),C87,#N/A)</f>
        <v>#N/A</v>
      </c>
      <c r="E87" s="1">
        <f>IF(OR(Table1[[#This Row],[Type (TX, RX, TRX, Oscillator)]]="RX", Table1[[#This Row],[Type (TX, RX, TRX, Oscillator)]]="RX FE"),C87,#N/A)</f>
        <v>1.9064758062981024</v>
      </c>
      <c r="F87" s="1" t="e">
        <f>IF(OR(Table1[[#This Row],[Type (TX, RX, TRX, Oscillator)]]="TRX", Table1[[#This Row],[Type (TX, RX, TRX, Oscillator)]]="TRX FE"),C87,#N/A)</f>
        <v>#N/A</v>
      </c>
      <c r="G87" s="1" t="e">
        <f>IF(Table1[[#This Row],[Type (TX, RX, TRX, Oscillator)]]="Oscillator",C87,#N/A)</f>
        <v>#N/A</v>
      </c>
      <c r="H87" s="1" t="e">
        <f>IF(Table1[[#This Row],[Type (TX, RX, TRX, Oscillator)]]="Relay",C87,#N/A)</f>
        <v>#N/A</v>
      </c>
      <c r="I87" s="1">
        <f>IF(ISNUMBER(Table1[[#This Row],[Array Aperture Area / Element (mm2)]]),SQRT(Table1[[#This Row],[Array Aperture Area / Element (mm2)]]),#N/A)</f>
        <v>5.3033008588991066</v>
      </c>
      <c r="J87" s="1" t="e">
        <f>IF(OR(Table1[[#This Row],[Type (TX, RX, TRX, Oscillator)]]="TX",Table1[[#This Row],[Type (TX, RX, TRX, Oscillator)]]="TX FE"),I87,#N/A)</f>
        <v>#N/A</v>
      </c>
      <c r="K87" s="1">
        <f>IF(OR(Table1[[#This Row],[Type (TX, RX, TRX, Oscillator)]]="RX",Table1[[#This Row],[Type (TX, RX, TRX, Oscillator)]]="RX FE"),I87,#N/A)</f>
        <v>5.3033008588991066</v>
      </c>
      <c r="L87" s="1" t="e">
        <f>IF(OR(Table1[[#This Row],[Type (TX, RX, TRX, Oscillator)]]="TRX", Table1[[#This Row],[Type (TX, RX, TRX, Oscillator)]]="TRX FE"),I87,#N/A)</f>
        <v>#N/A</v>
      </c>
      <c r="M87" s="1" t="e">
        <f>IF(Table1[[#This Row],[Type (TX, RX, TRX, Oscillator)]]="Oscillator",I87,#N/A)</f>
        <v>#N/A</v>
      </c>
      <c r="N87" s="1" t="e">
        <f>IF(Table1[[#This Row],[Type (TX, RX, TRX, Oscillator)]]="Relay",I87,#N/A)</f>
        <v>#N/A</v>
      </c>
    </row>
    <row r="88" spans="1:14" x14ac:dyDescent="0.2">
      <c r="A88" s="1">
        <f>Table1[[#This Row],[Frequency (GHz)]]</f>
        <v>57</v>
      </c>
      <c r="B88" s="1">
        <f t="shared" si="1"/>
        <v>2.6315789473684208</v>
      </c>
      <c r="C88" s="1">
        <f>IF(ISNUMBER(Table1[[#This Row],[Chip Core Area / Element (mm2)]]),SQRT(Table1[[#This Row],[Chip Core Area / Element (mm2)]]),#N/A)</f>
        <v>1.9064758062981024</v>
      </c>
      <c r="D88" s="1" t="e">
        <f>IF(OR(Table1[[#This Row],[Type (TX, RX, TRX, Oscillator)]]="TX", Table1[[#This Row],[Type (TX, RX, TRX, Oscillator)]]="TX FE"),C88,#N/A)</f>
        <v>#N/A</v>
      </c>
      <c r="E88" s="1">
        <f>IF(OR(Table1[[#This Row],[Type (TX, RX, TRX, Oscillator)]]="RX", Table1[[#This Row],[Type (TX, RX, TRX, Oscillator)]]="RX FE"),C88,#N/A)</f>
        <v>1.9064758062981024</v>
      </c>
      <c r="F88" s="1" t="e">
        <f>IF(OR(Table1[[#This Row],[Type (TX, RX, TRX, Oscillator)]]="TRX", Table1[[#This Row],[Type (TX, RX, TRX, Oscillator)]]="TRX FE"),C88,#N/A)</f>
        <v>#N/A</v>
      </c>
      <c r="G88" s="1" t="e">
        <f>IF(Table1[[#This Row],[Type (TX, RX, TRX, Oscillator)]]="Oscillator",C88,#N/A)</f>
        <v>#N/A</v>
      </c>
      <c r="H88" s="1" t="e">
        <f>IF(Table1[[#This Row],[Type (TX, RX, TRX, Oscillator)]]="Relay",C88,#N/A)</f>
        <v>#N/A</v>
      </c>
      <c r="I88" s="1">
        <f>IF(ISNUMBER(Table1[[#This Row],[Array Aperture Area / Element (mm2)]]),SQRT(Table1[[#This Row],[Array Aperture Area / Element (mm2)]]),#N/A)</f>
        <v>5.3033008588991066</v>
      </c>
      <c r="J88" s="1" t="e">
        <f>IF(OR(Table1[[#This Row],[Type (TX, RX, TRX, Oscillator)]]="TX",Table1[[#This Row],[Type (TX, RX, TRX, Oscillator)]]="TX FE"),I88,#N/A)</f>
        <v>#N/A</v>
      </c>
      <c r="K88" s="1">
        <f>IF(OR(Table1[[#This Row],[Type (TX, RX, TRX, Oscillator)]]="RX",Table1[[#This Row],[Type (TX, RX, TRX, Oscillator)]]="RX FE"),I88,#N/A)</f>
        <v>5.3033008588991066</v>
      </c>
      <c r="L88" s="1" t="e">
        <f>IF(OR(Table1[[#This Row],[Type (TX, RX, TRX, Oscillator)]]="TRX", Table1[[#This Row],[Type (TX, RX, TRX, Oscillator)]]="TRX FE"),I88,#N/A)</f>
        <v>#N/A</v>
      </c>
      <c r="M88" s="1" t="e">
        <f>IF(Table1[[#This Row],[Type (TX, RX, TRX, Oscillator)]]="Oscillator",I88,#N/A)</f>
        <v>#N/A</v>
      </c>
      <c r="N88" s="1" t="e">
        <f>IF(Table1[[#This Row],[Type (TX, RX, TRX, Oscillator)]]="Relay",I88,#N/A)</f>
        <v>#N/A</v>
      </c>
    </row>
    <row r="89" spans="1:14" x14ac:dyDescent="0.2">
      <c r="A89" s="1">
        <f>Table1[[#This Row],[Frequency (GHz)]]</f>
        <v>28</v>
      </c>
      <c r="B89" s="1">
        <f t="shared" si="1"/>
        <v>5.3571428571428568</v>
      </c>
      <c r="C89" s="1">
        <f>IF(ISNUMBER(Table1[[#This Row],[Chip Core Area / Element (mm2)]]),SQRT(Table1[[#This Row],[Chip Core Area / Element (mm2)]]),#N/A)</f>
        <v>1.05</v>
      </c>
      <c r="D89" s="1">
        <f>IF(OR(Table1[[#This Row],[Type (TX, RX, TRX, Oscillator)]]="TX", Table1[[#This Row],[Type (TX, RX, TRX, Oscillator)]]="TX FE"),C89,#N/A)</f>
        <v>1.05</v>
      </c>
      <c r="E89" s="1" t="e">
        <f>IF(OR(Table1[[#This Row],[Type (TX, RX, TRX, Oscillator)]]="RX", Table1[[#This Row],[Type (TX, RX, TRX, Oscillator)]]="RX FE"),C89,#N/A)</f>
        <v>#N/A</v>
      </c>
      <c r="F89" s="1" t="e">
        <f>IF(OR(Table1[[#This Row],[Type (TX, RX, TRX, Oscillator)]]="TRX", Table1[[#This Row],[Type (TX, RX, TRX, Oscillator)]]="TRX FE"),C89,#N/A)</f>
        <v>#N/A</v>
      </c>
      <c r="G89" s="1" t="e">
        <f>IF(Table1[[#This Row],[Type (TX, RX, TRX, Oscillator)]]="Oscillator",C89,#N/A)</f>
        <v>#N/A</v>
      </c>
      <c r="H89" s="1" t="e">
        <f>IF(Table1[[#This Row],[Type (TX, RX, TRX, Oscillator)]]="Relay",C89,#N/A)</f>
        <v>#N/A</v>
      </c>
      <c r="I89" s="1">
        <f>IF(ISNUMBER(Table1[[#This Row],[Array Aperture Area / Element (mm2)]]),SQRT(Table1[[#This Row],[Array Aperture Area / Element (mm2)]]),#N/A)</f>
        <v>6.4</v>
      </c>
      <c r="J89" s="1">
        <f>IF(OR(Table1[[#This Row],[Type (TX, RX, TRX, Oscillator)]]="TX",Table1[[#This Row],[Type (TX, RX, TRX, Oscillator)]]="TX FE"),I89,#N/A)</f>
        <v>6.4</v>
      </c>
      <c r="K89" s="1" t="e">
        <f>IF(OR(Table1[[#This Row],[Type (TX, RX, TRX, Oscillator)]]="RX",Table1[[#This Row],[Type (TX, RX, TRX, Oscillator)]]="RX FE"),I89,#N/A)</f>
        <v>#N/A</v>
      </c>
      <c r="L89" s="1" t="e">
        <f>IF(OR(Table1[[#This Row],[Type (TX, RX, TRX, Oscillator)]]="TRX", Table1[[#This Row],[Type (TX, RX, TRX, Oscillator)]]="TRX FE"),I89,#N/A)</f>
        <v>#N/A</v>
      </c>
      <c r="M89" s="1" t="e">
        <f>IF(Table1[[#This Row],[Type (TX, RX, TRX, Oscillator)]]="Oscillator",I89,#N/A)</f>
        <v>#N/A</v>
      </c>
      <c r="N89" s="1" t="e">
        <f>IF(Table1[[#This Row],[Type (TX, RX, TRX, Oscillator)]]="Relay",I89,#N/A)</f>
        <v>#N/A</v>
      </c>
    </row>
    <row r="90" spans="1:14" x14ac:dyDescent="0.2">
      <c r="A90" s="1">
        <f>Table1[[#This Row],[Frequency (GHz)]]</f>
        <v>140</v>
      </c>
      <c r="B90" s="1">
        <f t="shared" si="1"/>
        <v>1.0714285714285714</v>
      </c>
      <c r="C90" s="1">
        <f>IF(ISNUMBER(Table1[[#This Row],[Chip Core Area / Element (mm2)]]),SQRT(Table1[[#This Row],[Chip Core Area / Element (mm2)]]),#N/A)</f>
        <v>1.5840454538932902</v>
      </c>
      <c r="D90" s="1" t="e">
        <f>IF(OR(Table1[[#This Row],[Type (TX, RX, TRX, Oscillator)]]="TX", Table1[[#This Row],[Type (TX, RX, TRX, Oscillator)]]="TX FE"),C90,#N/A)</f>
        <v>#N/A</v>
      </c>
      <c r="E90" s="1" t="e">
        <f>IF(OR(Table1[[#This Row],[Type (TX, RX, TRX, Oscillator)]]="RX", Table1[[#This Row],[Type (TX, RX, TRX, Oscillator)]]="RX FE"),C90,#N/A)</f>
        <v>#N/A</v>
      </c>
      <c r="F90" s="1">
        <f>IF(OR(Table1[[#This Row],[Type (TX, RX, TRX, Oscillator)]]="TRX", Table1[[#This Row],[Type (TX, RX, TRX, Oscillator)]]="TRX FE"),C90,#N/A)</f>
        <v>1.5840454538932902</v>
      </c>
      <c r="G90" s="1" t="e">
        <f>IF(Table1[[#This Row],[Type (TX, RX, TRX, Oscillator)]]="Oscillator",C90,#N/A)</f>
        <v>#N/A</v>
      </c>
      <c r="H90" s="1" t="e">
        <f>IF(Table1[[#This Row],[Type (TX, RX, TRX, Oscillator)]]="Relay",C90,#N/A)</f>
        <v>#N/A</v>
      </c>
      <c r="I90" s="1" t="e">
        <f>IF(ISNUMBER(Table1[[#This Row],[Array Aperture Area / Element (mm2)]]),SQRT(Table1[[#This Row],[Array Aperture Area / Element (mm2)]]),#N/A)</f>
        <v>#N/A</v>
      </c>
      <c r="J90" s="1" t="e">
        <f>IF(OR(Table1[[#This Row],[Type (TX, RX, TRX, Oscillator)]]="TX",Table1[[#This Row],[Type (TX, RX, TRX, Oscillator)]]="TX FE"),I90,#N/A)</f>
        <v>#N/A</v>
      </c>
      <c r="K90" s="1" t="e">
        <f>IF(OR(Table1[[#This Row],[Type (TX, RX, TRX, Oscillator)]]="RX",Table1[[#This Row],[Type (TX, RX, TRX, Oscillator)]]="RX FE"),I90,#N/A)</f>
        <v>#N/A</v>
      </c>
      <c r="L90" s="1" t="e">
        <f>IF(OR(Table1[[#This Row],[Type (TX, RX, TRX, Oscillator)]]="TRX", Table1[[#This Row],[Type (TX, RX, TRX, Oscillator)]]="TRX FE"),I90,#N/A)</f>
        <v>#N/A</v>
      </c>
      <c r="M90" s="1" t="e">
        <f>IF(Table1[[#This Row],[Type (TX, RX, TRX, Oscillator)]]="Oscillator",I90,#N/A)</f>
        <v>#N/A</v>
      </c>
      <c r="N90" s="1" t="e">
        <f>IF(Table1[[#This Row],[Type (TX, RX, TRX, Oscillator)]]="Relay",I90,#N/A)</f>
        <v>#N/A</v>
      </c>
    </row>
    <row r="91" spans="1:14" x14ac:dyDescent="0.2">
      <c r="A91" s="1">
        <f>Table1[[#This Row],[Frequency (GHz)]]</f>
        <v>28</v>
      </c>
      <c r="B91" s="1">
        <f t="shared" si="1"/>
        <v>5.3571428571428568</v>
      </c>
      <c r="C91" s="1">
        <f>IF(ISNUMBER(Table1[[#This Row],[Chip Core Area / Element (mm2)]]),SQRT(Table1[[#This Row],[Chip Core Area / Element (mm2)]]),#N/A)</f>
        <v>0.94649352876815795</v>
      </c>
      <c r="D91" s="1" t="e">
        <f>IF(OR(Table1[[#This Row],[Type (TX, RX, TRX, Oscillator)]]="TX", Table1[[#This Row],[Type (TX, RX, TRX, Oscillator)]]="TX FE"),C91,#N/A)</f>
        <v>#N/A</v>
      </c>
      <c r="E91" s="1" t="e">
        <f>IF(OR(Table1[[#This Row],[Type (TX, RX, TRX, Oscillator)]]="RX", Table1[[#This Row],[Type (TX, RX, TRX, Oscillator)]]="RX FE"),C91,#N/A)</f>
        <v>#N/A</v>
      </c>
      <c r="F91" s="1">
        <f>IF(OR(Table1[[#This Row],[Type (TX, RX, TRX, Oscillator)]]="TRX", Table1[[#This Row],[Type (TX, RX, TRX, Oscillator)]]="TRX FE"),C91,#N/A)</f>
        <v>0.94649352876815795</v>
      </c>
      <c r="G91" s="1" t="e">
        <f>IF(Table1[[#This Row],[Type (TX, RX, TRX, Oscillator)]]="Oscillator",C91,#N/A)</f>
        <v>#N/A</v>
      </c>
      <c r="H91" s="1" t="e">
        <f>IF(Table1[[#This Row],[Type (TX, RX, TRX, Oscillator)]]="Relay",C91,#N/A)</f>
        <v>#N/A</v>
      </c>
      <c r="I91" s="1" t="e">
        <f>IF(ISNUMBER(Table1[[#This Row],[Array Aperture Area / Element (mm2)]]),SQRT(Table1[[#This Row],[Array Aperture Area / Element (mm2)]]),#N/A)</f>
        <v>#N/A</v>
      </c>
      <c r="J91" s="1" t="e">
        <f>IF(OR(Table1[[#This Row],[Type (TX, RX, TRX, Oscillator)]]="TX",Table1[[#This Row],[Type (TX, RX, TRX, Oscillator)]]="TX FE"),I91,#N/A)</f>
        <v>#N/A</v>
      </c>
      <c r="K91" s="1" t="e">
        <f>IF(OR(Table1[[#This Row],[Type (TX, RX, TRX, Oscillator)]]="RX",Table1[[#This Row],[Type (TX, RX, TRX, Oscillator)]]="RX FE"),I91,#N/A)</f>
        <v>#N/A</v>
      </c>
      <c r="L91" s="1" t="e">
        <f>IF(OR(Table1[[#This Row],[Type (TX, RX, TRX, Oscillator)]]="TRX", Table1[[#This Row],[Type (TX, RX, TRX, Oscillator)]]="TRX FE"),I91,#N/A)</f>
        <v>#N/A</v>
      </c>
      <c r="M91" s="1" t="e">
        <f>IF(Table1[[#This Row],[Type (TX, RX, TRX, Oscillator)]]="Oscillator",I91,#N/A)</f>
        <v>#N/A</v>
      </c>
      <c r="N91" s="1" t="e">
        <f>IF(Table1[[#This Row],[Type (TX, RX, TRX, Oscillator)]]="Relay",I91,#N/A)</f>
        <v>#N/A</v>
      </c>
    </row>
    <row r="92" spans="1:14" x14ac:dyDescent="0.2">
      <c r="A92" s="1">
        <f>Table1[[#This Row],[Frequency (GHz)]]</f>
        <v>39</v>
      </c>
      <c r="B92" s="1">
        <f t="shared" si="1"/>
        <v>3.8461538461538463</v>
      </c>
      <c r="C92" s="1">
        <f>IF(ISNUMBER(Table1[[#This Row],[Chip Core Area / Element (mm2)]]),SQRT(Table1[[#This Row],[Chip Core Area / Element (mm2)]]),#N/A)</f>
        <v>0.94649352876815795</v>
      </c>
      <c r="D92" s="1" t="e">
        <f>IF(OR(Table1[[#This Row],[Type (TX, RX, TRX, Oscillator)]]="TX", Table1[[#This Row],[Type (TX, RX, TRX, Oscillator)]]="TX FE"),C92,#N/A)</f>
        <v>#N/A</v>
      </c>
      <c r="E92" s="1" t="e">
        <f>IF(OR(Table1[[#This Row],[Type (TX, RX, TRX, Oscillator)]]="RX", Table1[[#This Row],[Type (TX, RX, TRX, Oscillator)]]="RX FE"),C92,#N/A)</f>
        <v>#N/A</v>
      </c>
      <c r="F92" s="1">
        <f>IF(OR(Table1[[#This Row],[Type (TX, RX, TRX, Oscillator)]]="TRX", Table1[[#This Row],[Type (TX, RX, TRX, Oscillator)]]="TRX FE"),C92,#N/A)</f>
        <v>0.94649352876815795</v>
      </c>
      <c r="G92" s="1" t="e">
        <f>IF(Table1[[#This Row],[Type (TX, RX, TRX, Oscillator)]]="Oscillator",C92,#N/A)</f>
        <v>#N/A</v>
      </c>
      <c r="H92" s="1" t="e">
        <f>IF(Table1[[#This Row],[Type (TX, RX, TRX, Oscillator)]]="Relay",C92,#N/A)</f>
        <v>#N/A</v>
      </c>
      <c r="I92" s="1" t="e">
        <f>IF(ISNUMBER(Table1[[#This Row],[Array Aperture Area / Element (mm2)]]),SQRT(Table1[[#This Row],[Array Aperture Area / Element (mm2)]]),#N/A)</f>
        <v>#N/A</v>
      </c>
      <c r="J92" s="1" t="e">
        <f>IF(OR(Table1[[#This Row],[Type (TX, RX, TRX, Oscillator)]]="TX",Table1[[#This Row],[Type (TX, RX, TRX, Oscillator)]]="TX FE"),I92,#N/A)</f>
        <v>#N/A</v>
      </c>
      <c r="K92" s="1" t="e">
        <f>IF(OR(Table1[[#This Row],[Type (TX, RX, TRX, Oscillator)]]="RX",Table1[[#This Row],[Type (TX, RX, TRX, Oscillator)]]="RX FE"),I92,#N/A)</f>
        <v>#N/A</v>
      </c>
      <c r="L92" s="1" t="e">
        <f>IF(OR(Table1[[#This Row],[Type (TX, RX, TRX, Oscillator)]]="TRX", Table1[[#This Row],[Type (TX, RX, TRX, Oscillator)]]="TRX FE"),I92,#N/A)</f>
        <v>#N/A</v>
      </c>
      <c r="M92" s="1" t="e">
        <f>IF(Table1[[#This Row],[Type (TX, RX, TRX, Oscillator)]]="Oscillator",I92,#N/A)</f>
        <v>#N/A</v>
      </c>
      <c r="N92" s="1" t="e">
        <f>IF(Table1[[#This Row],[Type (TX, RX, TRX, Oscillator)]]="Relay",I92,#N/A)</f>
        <v>#N/A</v>
      </c>
    </row>
    <row r="93" spans="1:14" x14ac:dyDescent="0.2">
      <c r="A93" s="1">
        <f>Table1[[#This Row],[Frequency (GHz)]]</f>
        <v>26</v>
      </c>
      <c r="B93" s="1">
        <f t="shared" si="1"/>
        <v>5.7692307692307692</v>
      </c>
      <c r="C93" s="1">
        <f>IF(ISNUMBER(Table1[[#This Row],[Chip Core Area / Element (mm2)]]),SQRT(Table1[[#This Row],[Chip Core Area / Element (mm2)]]),#N/A)</f>
        <v>0.98178409031721425</v>
      </c>
      <c r="D93" s="1" t="e">
        <f>IF(OR(Table1[[#This Row],[Type (TX, RX, TRX, Oscillator)]]="TX", Table1[[#This Row],[Type (TX, RX, TRX, Oscillator)]]="TX FE"),C93,#N/A)</f>
        <v>#N/A</v>
      </c>
      <c r="E93" s="1">
        <f>IF(OR(Table1[[#This Row],[Type (TX, RX, TRX, Oscillator)]]="RX", Table1[[#This Row],[Type (TX, RX, TRX, Oscillator)]]="RX FE"),C93,#N/A)</f>
        <v>0.98178409031721425</v>
      </c>
      <c r="F93" s="1" t="e">
        <f>IF(OR(Table1[[#This Row],[Type (TX, RX, TRX, Oscillator)]]="TRX", Table1[[#This Row],[Type (TX, RX, TRX, Oscillator)]]="TRX FE"),C93,#N/A)</f>
        <v>#N/A</v>
      </c>
      <c r="G93" s="1" t="e">
        <f>IF(Table1[[#This Row],[Type (TX, RX, TRX, Oscillator)]]="Oscillator",C93,#N/A)</f>
        <v>#N/A</v>
      </c>
      <c r="H93" s="1" t="e">
        <f>IF(Table1[[#This Row],[Type (TX, RX, TRX, Oscillator)]]="Relay",C93,#N/A)</f>
        <v>#N/A</v>
      </c>
      <c r="I93" s="1" t="e">
        <f>IF(ISNUMBER(Table1[[#This Row],[Array Aperture Area / Element (mm2)]]),SQRT(Table1[[#This Row],[Array Aperture Area / Element (mm2)]]),#N/A)</f>
        <v>#N/A</v>
      </c>
      <c r="J93" s="1" t="e">
        <f>IF(OR(Table1[[#This Row],[Type (TX, RX, TRX, Oscillator)]]="TX",Table1[[#This Row],[Type (TX, RX, TRX, Oscillator)]]="TX FE"),I93,#N/A)</f>
        <v>#N/A</v>
      </c>
      <c r="K93" s="1" t="e">
        <f>IF(OR(Table1[[#This Row],[Type (TX, RX, TRX, Oscillator)]]="RX",Table1[[#This Row],[Type (TX, RX, TRX, Oscillator)]]="RX FE"),I93,#N/A)</f>
        <v>#N/A</v>
      </c>
      <c r="L93" s="1" t="e">
        <f>IF(OR(Table1[[#This Row],[Type (TX, RX, TRX, Oscillator)]]="TRX", Table1[[#This Row],[Type (TX, RX, TRX, Oscillator)]]="TRX FE"),I93,#N/A)</f>
        <v>#N/A</v>
      </c>
      <c r="M93" s="1" t="e">
        <f>IF(Table1[[#This Row],[Type (TX, RX, TRX, Oscillator)]]="Oscillator",I93,#N/A)</f>
        <v>#N/A</v>
      </c>
      <c r="N93" s="1" t="e">
        <f>IF(Table1[[#This Row],[Type (TX, RX, TRX, Oscillator)]]="Relay",I93,#N/A)</f>
        <v>#N/A</v>
      </c>
    </row>
    <row r="94" spans="1:14" x14ac:dyDescent="0.2">
      <c r="A94" s="1">
        <f>Table1[[#This Row],[Frequency (GHz)]]</f>
        <v>29</v>
      </c>
      <c r="B94" s="1">
        <f t="shared" si="1"/>
        <v>5.1724137931034484</v>
      </c>
      <c r="C94" s="1">
        <f>IF(ISNUMBER(Table1[[#This Row],[Chip Core Area / Element (mm2)]]),SQRT(Table1[[#This Row],[Chip Core Area / Element (mm2)]]),#N/A)</f>
        <v>1.0786565718522276</v>
      </c>
      <c r="D94" s="1" t="e">
        <f>IF(OR(Table1[[#This Row],[Type (TX, RX, TRX, Oscillator)]]="TX", Table1[[#This Row],[Type (TX, RX, TRX, Oscillator)]]="TX FE"),C94,#N/A)</f>
        <v>#N/A</v>
      </c>
      <c r="E94" s="1">
        <f>IF(OR(Table1[[#This Row],[Type (TX, RX, TRX, Oscillator)]]="RX", Table1[[#This Row],[Type (TX, RX, TRX, Oscillator)]]="RX FE"),C94,#N/A)</f>
        <v>1.0786565718522276</v>
      </c>
      <c r="F94" s="1" t="e">
        <f>IF(OR(Table1[[#This Row],[Type (TX, RX, TRX, Oscillator)]]="TRX", Table1[[#This Row],[Type (TX, RX, TRX, Oscillator)]]="TRX FE"),C94,#N/A)</f>
        <v>#N/A</v>
      </c>
      <c r="G94" s="1" t="e">
        <f>IF(Table1[[#This Row],[Type (TX, RX, TRX, Oscillator)]]="Oscillator",C94,#N/A)</f>
        <v>#N/A</v>
      </c>
      <c r="H94" s="1" t="e">
        <f>IF(Table1[[#This Row],[Type (TX, RX, TRX, Oscillator)]]="Relay",C94,#N/A)</f>
        <v>#N/A</v>
      </c>
      <c r="I94" s="1" t="e">
        <f>IF(ISNUMBER(Table1[[#This Row],[Array Aperture Area / Element (mm2)]]),SQRT(Table1[[#This Row],[Array Aperture Area / Element (mm2)]]),#N/A)</f>
        <v>#N/A</v>
      </c>
      <c r="J94" s="1" t="e">
        <f>IF(OR(Table1[[#This Row],[Type (TX, RX, TRX, Oscillator)]]="TX",Table1[[#This Row],[Type (TX, RX, TRX, Oscillator)]]="TX FE"),I94,#N/A)</f>
        <v>#N/A</v>
      </c>
      <c r="K94" s="1" t="e">
        <f>IF(OR(Table1[[#This Row],[Type (TX, RX, TRX, Oscillator)]]="RX",Table1[[#This Row],[Type (TX, RX, TRX, Oscillator)]]="RX FE"),I94,#N/A)</f>
        <v>#N/A</v>
      </c>
      <c r="L94" s="1" t="e">
        <f>IF(OR(Table1[[#This Row],[Type (TX, RX, TRX, Oscillator)]]="TRX", Table1[[#This Row],[Type (TX, RX, TRX, Oscillator)]]="TRX FE"),I94,#N/A)</f>
        <v>#N/A</v>
      </c>
      <c r="M94" s="1" t="e">
        <f>IF(Table1[[#This Row],[Type (TX, RX, TRX, Oscillator)]]="Oscillator",I94,#N/A)</f>
        <v>#N/A</v>
      </c>
      <c r="N94" s="1" t="e">
        <f>IF(Table1[[#This Row],[Type (TX, RX, TRX, Oscillator)]]="Relay",I94,#N/A)</f>
        <v>#N/A</v>
      </c>
    </row>
    <row r="95" spans="1:14" x14ac:dyDescent="0.2">
      <c r="A95" s="1">
        <f>Table1[[#This Row],[Frequency (GHz)]]</f>
        <v>300</v>
      </c>
      <c r="B95" s="1">
        <f t="shared" si="1"/>
        <v>0.5</v>
      </c>
      <c r="C95" s="1">
        <f>IF(ISNUMBER(Table1[[#This Row],[Chip Core Area / Element (mm2)]]),SQRT(Table1[[#This Row],[Chip Core Area / Element (mm2)]]),#N/A)</f>
        <v>0.34641016151377546</v>
      </c>
      <c r="D95" s="1" t="e">
        <f>IF(OR(Table1[[#This Row],[Type (TX, RX, TRX, Oscillator)]]="TX", Table1[[#This Row],[Type (TX, RX, TRX, Oscillator)]]="TX FE"),C95,#N/A)</f>
        <v>#N/A</v>
      </c>
      <c r="E95" s="1">
        <f>IF(OR(Table1[[#This Row],[Type (TX, RX, TRX, Oscillator)]]="RX", Table1[[#This Row],[Type (TX, RX, TRX, Oscillator)]]="RX FE"),C95,#N/A)</f>
        <v>0.34641016151377546</v>
      </c>
      <c r="F95" s="1" t="e">
        <f>IF(OR(Table1[[#This Row],[Type (TX, RX, TRX, Oscillator)]]="TRX", Table1[[#This Row],[Type (TX, RX, TRX, Oscillator)]]="TRX FE"),C95,#N/A)</f>
        <v>#N/A</v>
      </c>
      <c r="G95" s="1" t="e">
        <f>IF(Table1[[#This Row],[Type (TX, RX, TRX, Oscillator)]]="Oscillator",C95,#N/A)</f>
        <v>#N/A</v>
      </c>
      <c r="H95" s="1" t="e">
        <f>IF(Table1[[#This Row],[Type (TX, RX, TRX, Oscillator)]]="Relay",C95,#N/A)</f>
        <v>#N/A</v>
      </c>
      <c r="I95" s="1" t="e">
        <f>IF(ISNUMBER(Table1[[#This Row],[Array Aperture Area / Element (mm2)]]),SQRT(Table1[[#This Row],[Array Aperture Area / Element (mm2)]]),#N/A)</f>
        <v>#N/A</v>
      </c>
      <c r="J95" s="1" t="e">
        <f>IF(OR(Table1[[#This Row],[Type (TX, RX, TRX, Oscillator)]]="TX",Table1[[#This Row],[Type (TX, RX, TRX, Oscillator)]]="TX FE"),I95,#N/A)</f>
        <v>#N/A</v>
      </c>
      <c r="K95" s="1" t="e">
        <f>IF(OR(Table1[[#This Row],[Type (TX, RX, TRX, Oscillator)]]="RX",Table1[[#This Row],[Type (TX, RX, TRX, Oscillator)]]="RX FE"),I95,#N/A)</f>
        <v>#N/A</v>
      </c>
      <c r="L95" s="1" t="e">
        <f>IF(OR(Table1[[#This Row],[Type (TX, RX, TRX, Oscillator)]]="TRX", Table1[[#This Row],[Type (TX, RX, TRX, Oscillator)]]="TRX FE"),I95,#N/A)</f>
        <v>#N/A</v>
      </c>
      <c r="M95" s="1" t="e">
        <f>IF(Table1[[#This Row],[Type (TX, RX, TRX, Oscillator)]]="Oscillator",I95,#N/A)</f>
        <v>#N/A</v>
      </c>
      <c r="N95" s="1" t="e">
        <f>IF(Table1[[#This Row],[Type (TX, RX, TRX, Oscillator)]]="Relay",I95,#N/A)</f>
        <v>#N/A</v>
      </c>
    </row>
    <row r="96" spans="1:14" x14ac:dyDescent="0.2">
      <c r="A96" s="1">
        <f>Table1[[#This Row],[Frequency (GHz)]]</f>
        <v>431</v>
      </c>
      <c r="B96" s="1">
        <f t="shared" si="1"/>
        <v>0.34802784222737815</v>
      </c>
      <c r="C96" s="1">
        <f>IF(ISNUMBER(Table1[[#This Row],[Chip Core Area / Element (mm2)]]),SQRT(Table1[[#This Row],[Chip Core Area / Element (mm2)]]),#N/A)</f>
        <v>0.37698806347151098</v>
      </c>
      <c r="D96" s="1" t="e">
        <f>IF(OR(Table1[[#This Row],[Type (TX, RX, TRX, Oscillator)]]="TX", Table1[[#This Row],[Type (TX, RX, TRX, Oscillator)]]="TX FE"),C96,#N/A)</f>
        <v>#N/A</v>
      </c>
      <c r="E96" s="1" t="e">
        <f>IF(OR(Table1[[#This Row],[Type (TX, RX, TRX, Oscillator)]]="RX", Table1[[#This Row],[Type (TX, RX, TRX, Oscillator)]]="RX FE"),C96,#N/A)</f>
        <v>#N/A</v>
      </c>
      <c r="F96" s="1" t="e">
        <f>IF(OR(Table1[[#This Row],[Type (TX, RX, TRX, Oscillator)]]="TRX", Table1[[#This Row],[Type (TX, RX, TRX, Oscillator)]]="TRX FE"),C96,#N/A)</f>
        <v>#N/A</v>
      </c>
      <c r="G96" s="1">
        <f>IF(Table1[[#This Row],[Type (TX, RX, TRX, Oscillator)]]="Oscillator",C96,#N/A)</f>
        <v>0.37698806347151098</v>
      </c>
      <c r="H96" s="1" t="e">
        <f>IF(Table1[[#This Row],[Type (TX, RX, TRX, Oscillator)]]="Relay",C96,#N/A)</f>
        <v>#N/A</v>
      </c>
      <c r="I96" s="1" t="e">
        <f>IF(ISNUMBER(Table1[[#This Row],[Array Aperture Area / Element (mm2)]]),SQRT(Table1[[#This Row],[Array Aperture Area / Element (mm2)]]),#N/A)</f>
        <v>#N/A</v>
      </c>
      <c r="J96" s="1" t="e">
        <f>IF(OR(Table1[[#This Row],[Type (TX, RX, TRX, Oscillator)]]="TX",Table1[[#This Row],[Type (TX, RX, TRX, Oscillator)]]="TX FE"),I96,#N/A)</f>
        <v>#N/A</v>
      </c>
      <c r="K96" s="1" t="e">
        <f>IF(OR(Table1[[#This Row],[Type (TX, RX, TRX, Oscillator)]]="RX",Table1[[#This Row],[Type (TX, RX, TRX, Oscillator)]]="RX FE"),I96,#N/A)</f>
        <v>#N/A</v>
      </c>
      <c r="L96" s="1" t="e">
        <f>IF(OR(Table1[[#This Row],[Type (TX, RX, TRX, Oscillator)]]="TRX", Table1[[#This Row],[Type (TX, RX, TRX, Oscillator)]]="TRX FE"),I96,#N/A)</f>
        <v>#N/A</v>
      </c>
      <c r="M96" s="1" t="e">
        <f>IF(Table1[[#This Row],[Type (TX, RX, TRX, Oscillator)]]="Oscillator",I96,#N/A)</f>
        <v>#N/A</v>
      </c>
      <c r="N96" s="1" t="e">
        <f>IF(Table1[[#This Row],[Type (TX, RX, TRX, Oscillator)]]="Relay",I96,#N/A)</f>
        <v>#N/A</v>
      </c>
    </row>
    <row r="97" spans="1:14" x14ac:dyDescent="0.2">
      <c r="A97" s="1">
        <f>Table1[[#This Row],[Frequency (GHz)]]</f>
        <v>140</v>
      </c>
      <c r="B97" s="1">
        <f t="shared" si="1"/>
        <v>1.0714285714285714</v>
      </c>
      <c r="C97" s="1">
        <f>IF(ISNUMBER(Table1[[#This Row],[Chip Core Area / Element (mm2)]]),SQRT(Table1[[#This Row],[Chip Core Area / Element (mm2)]]),#N/A)</f>
        <v>1.0276186062932104</v>
      </c>
      <c r="D97" s="1">
        <f>IF(OR(Table1[[#This Row],[Type (TX, RX, TRX, Oscillator)]]="TX", Table1[[#This Row],[Type (TX, RX, TRX, Oscillator)]]="TX FE"),C97,#N/A)</f>
        <v>1.0276186062932104</v>
      </c>
      <c r="E97" s="1" t="e">
        <f>IF(OR(Table1[[#This Row],[Type (TX, RX, TRX, Oscillator)]]="RX", Table1[[#This Row],[Type (TX, RX, TRX, Oscillator)]]="RX FE"),C97,#N/A)</f>
        <v>#N/A</v>
      </c>
      <c r="F97" s="1" t="e">
        <f>IF(OR(Table1[[#This Row],[Type (TX, RX, TRX, Oscillator)]]="TRX", Table1[[#This Row],[Type (TX, RX, TRX, Oscillator)]]="TRX FE"),C97,#N/A)</f>
        <v>#N/A</v>
      </c>
      <c r="G97" s="1" t="e">
        <f>IF(Table1[[#This Row],[Type (TX, RX, TRX, Oscillator)]]="Oscillator",C97,#N/A)</f>
        <v>#N/A</v>
      </c>
      <c r="H97" s="1" t="e">
        <f>IF(Table1[[#This Row],[Type (TX, RX, TRX, Oscillator)]]="Relay",C97,#N/A)</f>
        <v>#N/A</v>
      </c>
      <c r="I97" s="1" t="e">
        <f>IF(ISNUMBER(Table1[[#This Row],[Array Aperture Area / Element (mm2)]]),SQRT(Table1[[#This Row],[Array Aperture Area / Element (mm2)]]),#N/A)</f>
        <v>#N/A</v>
      </c>
      <c r="J97" s="1" t="e">
        <f>IF(OR(Table1[[#This Row],[Type (TX, RX, TRX, Oscillator)]]="TX",Table1[[#This Row],[Type (TX, RX, TRX, Oscillator)]]="TX FE"),I97,#N/A)</f>
        <v>#N/A</v>
      </c>
      <c r="K97" s="1" t="e">
        <f>IF(OR(Table1[[#This Row],[Type (TX, RX, TRX, Oscillator)]]="RX",Table1[[#This Row],[Type (TX, RX, TRX, Oscillator)]]="RX FE"),I97,#N/A)</f>
        <v>#N/A</v>
      </c>
      <c r="L97" s="1" t="e">
        <f>IF(OR(Table1[[#This Row],[Type (TX, RX, TRX, Oscillator)]]="TRX", Table1[[#This Row],[Type (TX, RX, TRX, Oscillator)]]="TRX FE"),I97,#N/A)</f>
        <v>#N/A</v>
      </c>
      <c r="M97" s="1" t="e">
        <f>IF(Table1[[#This Row],[Type (TX, RX, TRX, Oscillator)]]="Oscillator",I97,#N/A)</f>
        <v>#N/A</v>
      </c>
      <c r="N97" s="1" t="e">
        <f>IF(Table1[[#This Row],[Type (TX, RX, TRX, Oscillator)]]="Relay",I97,#N/A)</f>
        <v>#N/A</v>
      </c>
    </row>
    <row r="98" spans="1:14" x14ac:dyDescent="0.2">
      <c r="A98" s="1">
        <f>Table1[[#This Row],[Frequency (GHz)]]</f>
        <v>136</v>
      </c>
      <c r="B98" s="1">
        <f t="shared" si="1"/>
        <v>1.1029411764705883</v>
      </c>
      <c r="C98" s="1">
        <f>IF(ISNUMBER(Table1[[#This Row],[Chip Core Area / Element (mm2)]]),SQRT(Table1[[#This Row],[Chip Core Area / Element (mm2)]]),#N/A)</f>
        <v>2.514756449439985</v>
      </c>
      <c r="D98" s="1">
        <f>IF(OR(Table1[[#This Row],[Type (TX, RX, TRX, Oscillator)]]="TX", Table1[[#This Row],[Type (TX, RX, TRX, Oscillator)]]="TX FE"),C98,#N/A)</f>
        <v>2.514756449439985</v>
      </c>
      <c r="E98" s="1" t="e">
        <f>IF(OR(Table1[[#This Row],[Type (TX, RX, TRX, Oscillator)]]="RX", Table1[[#This Row],[Type (TX, RX, TRX, Oscillator)]]="RX FE"),C98,#N/A)</f>
        <v>#N/A</v>
      </c>
      <c r="F98" s="1" t="e">
        <f>IF(OR(Table1[[#This Row],[Type (TX, RX, TRX, Oscillator)]]="TRX", Table1[[#This Row],[Type (TX, RX, TRX, Oscillator)]]="TRX FE"),C98,#N/A)</f>
        <v>#N/A</v>
      </c>
      <c r="G98" s="1" t="e">
        <f>IF(Table1[[#This Row],[Type (TX, RX, TRX, Oscillator)]]="Oscillator",C98,#N/A)</f>
        <v>#N/A</v>
      </c>
      <c r="H98" s="1" t="e">
        <f>IF(Table1[[#This Row],[Type (TX, RX, TRX, Oscillator)]]="Relay",C98,#N/A)</f>
        <v>#N/A</v>
      </c>
      <c r="I98" s="1" t="e">
        <f>IF(ISNUMBER(Table1[[#This Row],[Array Aperture Area / Element (mm2)]]),SQRT(Table1[[#This Row],[Array Aperture Area / Element (mm2)]]),#N/A)</f>
        <v>#N/A</v>
      </c>
      <c r="J98" s="1" t="e">
        <f>IF(OR(Table1[[#This Row],[Type (TX, RX, TRX, Oscillator)]]="TX",Table1[[#This Row],[Type (TX, RX, TRX, Oscillator)]]="TX FE"),I98,#N/A)</f>
        <v>#N/A</v>
      </c>
      <c r="K98" s="1" t="e">
        <f>IF(OR(Table1[[#This Row],[Type (TX, RX, TRX, Oscillator)]]="RX",Table1[[#This Row],[Type (TX, RX, TRX, Oscillator)]]="RX FE"),I98,#N/A)</f>
        <v>#N/A</v>
      </c>
      <c r="L98" s="1" t="e">
        <f>IF(OR(Table1[[#This Row],[Type (TX, RX, TRX, Oscillator)]]="TRX", Table1[[#This Row],[Type (TX, RX, TRX, Oscillator)]]="TRX FE"),I98,#N/A)</f>
        <v>#N/A</v>
      </c>
      <c r="M98" s="1" t="e">
        <f>IF(Table1[[#This Row],[Type (TX, RX, TRX, Oscillator)]]="Oscillator",I98,#N/A)</f>
        <v>#N/A</v>
      </c>
      <c r="N98" s="1" t="e">
        <f>IF(Table1[[#This Row],[Type (TX, RX, TRX, Oscillator)]]="Relay",I98,#N/A)</f>
        <v>#N/A</v>
      </c>
    </row>
    <row r="99" spans="1:14" x14ac:dyDescent="0.2">
      <c r="A99" s="1">
        <f>Table1[[#This Row],[Frequency (GHz)]]</f>
        <v>260</v>
      </c>
      <c r="B99" s="1">
        <f t="shared" si="1"/>
        <v>0.57692307692307698</v>
      </c>
      <c r="C99" s="1">
        <f>IF(ISNUMBER(Table1[[#This Row],[Chip Core Area / Element (mm2)]]),SQRT(Table1[[#This Row],[Chip Core Area / Element (mm2)]]),#N/A)</f>
        <v>0.5714285714285714</v>
      </c>
      <c r="D99" s="1" t="e">
        <f>IF(OR(Table1[[#This Row],[Type (TX, RX, TRX, Oscillator)]]="TX", Table1[[#This Row],[Type (TX, RX, TRX, Oscillator)]]="TX FE"),C99,#N/A)</f>
        <v>#N/A</v>
      </c>
      <c r="E99" s="1" t="e">
        <f>IF(OR(Table1[[#This Row],[Type (TX, RX, TRX, Oscillator)]]="RX", Table1[[#This Row],[Type (TX, RX, TRX, Oscillator)]]="RX FE"),C99,#N/A)</f>
        <v>#N/A</v>
      </c>
      <c r="F99" s="1" t="e">
        <f>IF(OR(Table1[[#This Row],[Type (TX, RX, TRX, Oscillator)]]="TRX", Table1[[#This Row],[Type (TX, RX, TRX, Oscillator)]]="TRX FE"),C99,#N/A)</f>
        <v>#N/A</v>
      </c>
      <c r="G99" s="1" t="e">
        <f>IF(Table1[[#This Row],[Type (TX, RX, TRX, Oscillator)]]="Oscillator",C99,#N/A)</f>
        <v>#N/A</v>
      </c>
      <c r="H99" s="1">
        <f>IF(Table1[[#This Row],[Type (TX, RX, TRX, Oscillator)]]="Relay",C99,#N/A)</f>
        <v>0.5714285714285714</v>
      </c>
      <c r="I99" s="1">
        <f>IF(ISNUMBER(Table1[[#This Row],[Array Aperture Area / Element (mm2)]]),SQRT(Table1[[#This Row],[Array Aperture Area / Element (mm2)]]),#N/A)</f>
        <v>0.5714285714285714</v>
      </c>
      <c r="J99" s="1" t="e">
        <f>IF(OR(Table1[[#This Row],[Type (TX, RX, TRX, Oscillator)]]="TX",Table1[[#This Row],[Type (TX, RX, TRX, Oscillator)]]="TX FE"),I99,#N/A)</f>
        <v>#N/A</v>
      </c>
      <c r="K99" s="1" t="e">
        <f>IF(OR(Table1[[#This Row],[Type (TX, RX, TRX, Oscillator)]]="RX",Table1[[#This Row],[Type (TX, RX, TRX, Oscillator)]]="RX FE"),I99,#N/A)</f>
        <v>#N/A</v>
      </c>
      <c r="L99" s="1" t="e">
        <f>IF(OR(Table1[[#This Row],[Type (TX, RX, TRX, Oscillator)]]="TRX", Table1[[#This Row],[Type (TX, RX, TRX, Oscillator)]]="TRX FE"),I99,#N/A)</f>
        <v>#N/A</v>
      </c>
      <c r="M99" s="1" t="e">
        <f>IF(Table1[[#This Row],[Type (TX, RX, TRX, Oscillator)]]="Oscillator",I99,#N/A)</f>
        <v>#N/A</v>
      </c>
      <c r="N99" s="1">
        <f>IF(Table1[[#This Row],[Type (TX, RX, TRX, Oscillator)]]="Relay",I99,#N/A)</f>
        <v>0.5714285714285714</v>
      </c>
    </row>
    <row r="100" spans="1:14" x14ac:dyDescent="0.2">
      <c r="A100" s="1">
        <f>Table1[[#This Row],[Frequency (GHz)]]</f>
        <v>140</v>
      </c>
      <c r="B100" s="1">
        <f t="shared" si="1"/>
        <v>1.0714285714285714</v>
      </c>
      <c r="C100" s="1">
        <f>IF(ISNUMBER(Table1[[#This Row],[Chip Core Area / Element (mm2)]]),SQRT(Table1[[#This Row],[Chip Core Area / Element (mm2)]]),#N/A)</f>
        <v>1.49248115565993</v>
      </c>
      <c r="D100" s="1">
        <f>IF(OR(Table1[[#This Row],[Type (TX, RX, TRX, Oscillator)]]="TX", Table1[[#This Row],[Type (TX, RX, TRX, Oscillator)]]="TX FE"),C100,#N/A)</f>
        <v>1.49248115565993</v>
      </c>
      <c r="E100" s="1" t="e">
        <f>IF(OR(Table1[[#This Row],[Type (TX, RX, TRX, Oscillator)]]="RX", Table1[[#This Row],[Type (TX, RX, TRX, Oscillator)]]="RX FE"),C100,#N/A)</f>
        <v>#N/A</v>
      </c>
      <c r="F100" s="1" t="e">
        <f>IF(OR(Table1[[#This Row],[Type (TX, RX, TRX, Oscillator)]]="TRX", Table1[[#This Row],[Type (TX, RX, TRX, Oscillator)]]="TRX FE"),C100,#N/A)</f>
        <v>#N/A</v>
      </c>
      <c r="G100" s="1" t="e">
        <f>IF(Table1[[#This Row],[Type (TX, RX, TRX, Oscillator)]]="Oscillator",C100,#N/A)</f>
        <v>#N/A</v>
      </c>
      <c r="H100" s="1" t="e">
        <f>IF(Table1[[#This Row],[Type (TX, RX, TRX, Oscillator)]]="Relay",C100,#N/A)</f>
        <v>#N/A</v>
      </c>
      <c r="I100" s="1">
        <f>IF(ISNUMBER(Table1[[#This Row],[Array Aperture Area / Element (mm2)]]),SQRT(Table1[[#This Row],[Array Aperture Area / Element (mm2)]]),#N/A)</f>
        <v>1.875</v>
      </c>
      <c r="J100" s="1">
        <f>IF(OR(Table1[[#This Row],[Type (TX, RX, TRX, Oscillator)]]="TX",Table1[[#This Row],[Type (TX, RX, TRX, Oscillator)]]="TX FE"),I100,#N/A)</f>
        <v>1.875</v>
      </c>
      <c r="K100" s="1" t="e">
        <f>IF(OR(Table1[[#This Row],[Type (TX, RX, TRX, Oscillator)]]="RX",Table1[[#This Row],[Type (TX, RX, TRX, Oscillator)]]="RX FE"),I100,#N/A)</f>
        <v>#N/A</v>
      </c>
      <c r="L100" s="1" t="e">
        <f>IF(OR(Table1[[#This Row],[Type (TX, RX, TRX, Oscillator)]]="TRX", Table1[[#This Row],[Type (TX, RX, TRX, Oscillator)]]="TRX FE"),I100,#N/A)</f>
        <v>#N/A</v>
      </c>
      <c r="M100" s="1" t="e">
        <f>IF(Table1[[#This Row],[Type (TX, RX, TRX, Oscillator)]]="Oscillator",I100,#N/A)</f>
        <v>#N/A</v>
      </c>
      <c r="N100" s="1" t="e">
        <f>IF(Table1[[#This Row],[Type (TX, RX, TRX, Oscillator)]]="Relay",I100,#N/A)</f>
        <v>#N/A</v>
      </c>
    </row>
    <row r="101" spans="1:14" x14ac:dyDescent="0.2">
      <c r="A101" s="1">
        <f>Table1[[#This Row],[Frequency (GHz)]]</f>
        <v>140</v>
      </c>
      <c r="B101" s="1">
        <f t="shared" si="1"/>
        <v>1.0714285714285714</v>
      </c>
      <c r="C101" s="1">
        <f>IF(ISNUMBER(Table1[[#This Row],[Chip Core Area / Element (mm2)]]),SQRT(Table1[[#This Row],[Chip Core Area / Element (mm2)]]),#N/A)</f>
        <v>1.49248115565993</v>
      </c>
      <c r="D101" s="1" t="e">
        <f>IF(OR(Table1[[#This Row],[Type (TX, RX, TRX, Oscillator)]]="TX", Table1[[#This Row],[Type (TX, RX, TRX, Oscillator)]]="TX FE"),C101,#N/A)</f>
        <v>#N/A</v>
      </c>
      <c r="E101" s="1">
        <f>IF(OR(Table1[[#This Row],[Type (TX, RX, TRX, Oscillator)]]="RX", Table1[[#This Row],[Type (TX, RX, TRX, Oscillator)]]="RX FE"),C101,#N/A)</f>
        <v>1.49248115565993</v>
      </c>
      <c r="F101" s="1" t="e">
        <f>IF(OR(Table1[[#This Row],[Type (TX, RX, TRX, Oscillator)]]="TRX", Table1[[#This Row],[Type (TX, RX, TRX, Oscillator)]]="TRX FE"),C101,#N/A)</f>
        <v>#N/A</v>
      </c>
      <c r="G101" s="1" t="e">
        <f>IF(Table1[[#This Row],[Type (TX, RX, TRX, Oscillator)]]="Oscillator",C101,#N/A)</f>
        <v>#N/A</v>
      </c>
      <c r="H101" s="1" t="e">
        <f>IF(Table1[[#This Row],[Type (TX, RX, TRX, Oscillator)]]="Relay",C101,#N/A)</f>
        <v>#N/A</v>
      </c>
      <c r="I101" s="1">
        <f>IF(ISNUMBER(Table1[[#This Row],[Array Aperture Area / Element (mm2)]]),SQRT(Table1[[#This Row],[Array Aperture Area / Element (mm2)]]),#N/A)</f>
        <v>1.875</v>
      </c>
      <c r="J101" s="1" t="e">
        <f>IF(OR(Table1[[#This Row],[Type (TX, RX, TRX, Oscillator)]]="TX",Table1[[#This Row],[Type (TX, RX, TRX, Oscillator)]]="TX FE"),I101,#N/A)</f>
        <v>#N/A</v>
      </c>
      <c r="K101" s="1">
        <f>IF(OR(Table1[[#This Row],[Type (TX, RX, TRX, Oscillator)]]="RX",Table1[[#This Row],[Type (TX, RX, TRX, Oscillator)]]="RX FE"),I101,#N/A)</f>
        <v>1.875</v>
      </c>
      <c r="L101" s="1" t="e">
        <f>IF(OR(Table1[[#This Row],[Type (TX, RX, TRX, Oscillator)]]="TRX", Table1[[#This Row],[Type (TX, RX, TRX, Oscillator)]]="TRX FE"),I101,#N/A)</f>
        <v>#N/A</v>
      </c>
      <c r="M101" s="1" t="e">
        <f>IF(Table1[[#This Row],[Type (TX, RX, TRX, Oscillator)]]="Oscillator",I101,#N/A)</f>
        <v>#N/A</v>
      </c>
      <c r="N101" s="1" t="e">
        <f>IF(Table1[[#This Row],[Type (TX, RX, TRX, Oscillator)]]="Relay",I101,#N/A)</f>
        <v>#N/A</v>
      </c>
    </row>
    <row r="102" spans="1:14" x14ac:dyDescent="0.2">
      <c r="A102" s="1">
        <f>Table1[[#This Row],[Frequency (GHz)]]</f>
        <v>27</v>
      </c>
      <c r="B102" s="1">
        <f t="shared" si="1"/>
        <v>5.5555555555555554</v>
      </c>
      <c r="C102" s="1">
        <f>IF(ISNUMBER(Table1[[#This Row],[Chip Core Area / Element (mm2)]]),SQRT(Table1[[#This Row],[Chip Core Area / Element (mm2)]]),#N/A)</f>
        <v>2.1415998692566265</v>
      </c>
      <c r="D102" s="1" t="e">
        <f>IF(OR(Table1[[#This Row],[Type (TX, RX, TRX, Oscillator)]]="TX", Table1[[#This Row],[Type (TX, RX, TRX, Oscillator)]]="TX FE"),C102,#N/A)</f>
        <v>#N/A</v>
      </c>
      <c r="E102" s="1" t="e">
        <f>IF(OR(Table1[[#This Row],[Type (TX, RX, TRX, Oscillator)]]="RX", Table1[[#This Row],[Type (TX, RX, TRX, Oscillator)]]="RX FE"),C102,#N/A)</f>
        <v>#N/A</v>
      </c>
      <c r="F102" s="1">
        <f>IF(OR(Table1[[#This Row],[Type (TX, RX, TRX, Oscillator)]]="TRX", Table1[[#This Row],[Type (TX, RX, TRX, Oscillator)]]="TRX FE"),C102,#N/A)</f>
        <v>2.1415998692566265</v>
      </c>
      <c r="G102" s="1" t="e">
        <f>IF(Table1[[#This Row],[Type (TX, RX, TRX, Oscillator)]]="Oscillator",C102,#N/A)</f>
        <v>#N/A</v>
      </c>
      <c r="H102" s="1" t="e">
        <f>IF(Table1[[#This Row],[Type (TX, RX, TRX, Oscillator)]]="Relay",C102,#N/A)</f>
        <v>#N/A</v>
      </c>
      <c r="I102" s="1" t="e">
        <f>IF(ISNUMBER(Table1[[#This Row],[Array Aperture Area / Element (mm2)]]),SQRT(Table1[[#This Row],[Array Aperture Area / Element (mm2)]]),#N/A)</f>
        <v>#N/A</v>
      </c>
      <c r="J102" s="1" t="e">
        <f>IF(OR(Table1[[#This Row],[Type (TX, RX, TRX, Oscillator)]]="TX",Table1[[#This Row],[Type (TX, RX, TRX, Oscillator)]]="TX FE"),I102,#N/A)</f>
        <v>#N/A</v>
      </c>
      <c r="K102" s="1" t="e">
        <f>IF(OR(Table1[[#This Row],[Type (TX, RX, TRX, Oscillator)]]="RX",Table1[[#This Row],[Type (TX, RX, TRX, Oscillator)]]="RX FE"),I102,#N/A)</f>
        <v>#N/A</v>
      </c>
      <c r="L102" s="1" t="e">
        <f>IF(OR(Table1[[#This Row],[Type (TX, RX, TRX, Oscillator)]]="TRX", Table1[[#This Row],[Type (TX, RX, TRX, Oscillator)]]="TRX FE"),I102,#N/A)</f>
        <v>#N/A</v>
      </c>
      <c r="M102" s="1" t="e">
        <f>IF(Table1[[#This Row],[Type (TX, RX, TRX, Oscillator)]]="Oscillator",I102,#N/A)</f>
        <v>#N/A</v>
      </c>
      <c r="N102" s="1" t="e">
        <f>IF(Table1[[#This Row],[Type (TX, RX, TRX, Oscillator)]]="Relay",I102,#N/A)</f>
        <v>#N/A</v>
      </c>
    </row>
    <row r="103" spans="1:14" x14ac:dyDescent="0.2">
      <c r="A103" s="1">
        <f>Table1[[#This Row],[Frequency (GHz)]]</f>
        <v>694</v>
      </c>
      <c r="B103" s="1">
        <f t="shared" si="1"/>
        <v>0.21613832853025935</v>
      </c>
      <c r="C103" s="1">
        <f>IF(ISNUMBER(Table1[[#This Row],[Chip Core Area / Element (mm2)]]),SQRT(Table1[[#This Row],[Chip Core Area / Element (mm2)]]),#N/A)</f>
        <v>0.27708302004994823</v>
      </c>
      <c r="D103" s="1" t="e">
        <f>IF(OR(Table1[[#This Row],[Type (TX, RX, TRX, Oscillator)]]="TX", Table1[[#This Row],[Type (TX, RX, TRX, Oscillator)]]="TX FE"),C103,#N/A)</f>
        <v>#N/A</v>
      </c>
      <c r="E103" s="1" t="e">
        <f>IF(OR(Table1[[#This Row],[Type (TX, RX, TRX, Oscillator)]]="RX", Table1[[#This Row],[Type (TX, RX, TRX, Oscillator)]]="RX FE"),C103,#N/A)</f>
        <v>#N/A</v>
      </c>
      <c r="F103" s="1" t="e">
        <f>IF(OR(Table1[[#This Row],[Type (TX, RX, TRX, Oscillator)]]="TRX", Table1[[#This Row],[Type (TX, RX, TRX, Oscillator)]]="TRX FE"),C103,#N/A)</f>
        <v>#N/A</v>
      </c>
      <c r="G103" s="1">
        <f>IF(Table1[[#This Row],[Type (TX, RX, TRX, Oscillator)]]="Oscillator",C103,#N/A)</f>
        <v>0.27708302004994823</v>
      </c>
      <c r="H103" s="1" t="e">
        <f>IF(Table1[[#This Row],[Type (TX, RX, TRX, Oscillator)]]="Relay",C103,#N/A)</f>
        <v>#N/A</v>
      </c>
      <c r="I103" s="1" t="e">
        <f>IF(ISNUMBER(Table1[[#This Row],[Array Aperture Area / Element (mm2)]]),SQRT(Table1[[#This Row],[Array Aperture Area / Element (mm2)]]),#N/A)</f>
        <v>#N/A</v>
      </c>
      <c r="J103" s="1" t="e">
        <f>IF(OR(Table1[[#This Row],[Type (TX, RX, TRX, Oscillator)]]="TX",Table1[[#This Row],[Type (TX, RX, TRX, Oscillator)]]="TX FE"),I103,#N/A)</f>
        <v>#N/A</v>
      </c>
      <c r="K103" s="1" t="e">
        <f>IF(OR(Table1[[#This Row],[Type (TX, RX, TRX, Oscillator)]]="RX",Table1[[#This Row],[Type (TX, RX, TRX, Oscillator)]]="RX FE"),I103,#N/A)</f>
        <v>#N/A</v>
      </c>
      <c r="L103" s="1" t="e">
        <f>IF(OR(Table1[[#This Row],[Type (TX, RX, TRX, Oscillator)]]="TRX", Table1[[#This Row],[Type (TX, RX, TRX, Oscillator)]]="TRX FE"),I103,#N/A)</f>
        <v>#N/A</v>
      </c>
      <c r="M103" s="1" t="e">
        <f>IF(Table1[[#This Row],[Type (TX, RX, TRX, Oscillator)]]="Oscillator",I103,#N/A)</f>
        <v>#N/A</v>
      </c>
      <c r="N103" s="1" t="e">
        <f>IF(Table1[[#This Row],[Type (TX, RX, TRX, Oscillator)]]="Relay",I103,#N/A)</f>
        <v>#N/A</v>
      </c>
    </row>
    <row r="104" spans="1:14" x14ac:dyDescent="0.2">
      <c r="A104" s="1">
        <f>Table1[[#This Row],[Frequency (GHz)]]</f>
        <v>14.25</v>
      </c>
      <c r="B104" s="1">
        <f t="shared" si="1"/>
        <v>10.526315789473683</v>
      </c>
      <c r="C104" s="1" t="e">
        <f>IF(ISNUMBER(Table1[[#This Row],[Chip Core Area / Element (mm2)]]),SQRT(Table1[[#This Row],[Chip Core Area / Element (mm2)]]),#N/A)</f>
        <v>#N/A</v>
      </c>
      <c r="D104" s="1" t="e">
        <f>IF(OR(Table1[[#This Row],[Type (TX, RX, TRX, Oscillator)]]="TX", Table1[[#This Row],[Type (TX, RX, TRX, Oscillator)]]="TX FE"),C104,#N/A)</f>
        <v>#N/A</v>
      </c>
      <c r="E104" s="1" t="e">
        <f>IF(OR(Table1[[#This Row],[Type (TX, RX, TRX, Oscillator)]]="RX", Table1[[#This Row],[Type (TX, RX, TRX, Oscillator)]]="RX FE"),C104,#N/A)</f>
        <v>#N/A</v>
      </c>
      <c r="F104" s="1" t="e">
        <f>IF(OR(Table1[[#This Row],[Type (TX, RX, TRX, Oscillator)]]="TRX", Table1[[#This Row],[Type (TX, RX, TRX, Oscillator)]]="TRX FE"),C104,#N/A)</f>
        <v>#N/A</v>
      </c>
      <c r="G104" s="1" t="e">
        <f>IF(Table1[[#This Row],[Type (TX, RX, TRX, Oscillator)]]="Oscillator",C104,#N/A)</f>
        <v>#N/A</v>
      </c>
      <c r="H104" s="1" t="e">
        <f>IF(Table1[[#This Row],[Type (TX, RX, TRX, Oscillator)]]="Relay",C104,#N/A)</f>
        <v>#N/A</v>
      </c>
      <c r="I104" s="1">
        <f>IF(ISNUMBER(Table1[[#This Row],[Array Aperture Area / Element (mm2)]]),SQRT(Table1[[#This Row],[Array Aperture Area / Element (mm2)]]),#N/A)</f>
        <v>11.541365820387117</v>
      </c>
      <c r="J104" s="1">
        <f>IF(OR(Table1[[#This Row],[Type (TX, RX, TRX, Oscillator)]]="TX",Table1[[#This Row],[Type (TX, RX, TRX, Oscillator)]]="TX FE"),I104,#N/A)</f>
        <v>11.541365820387117</v>
      </c>
      <c r="K104" s="1" t="e">
        <f>IF(OR(Table1[[#This Row],[Type (TX, RX, TRX, Oscillator)]]="RX",Table1[[#This Row],[Type (TX, RX, TRX, Oscillator)]]="RX FE"),I104,#N/A)</f>
        <v>#N/A</v>
      </c>
      <c r="L104" s="1" t="e">
        <f>IF(OR(Table1[[#This Row],[Type (TX, RX, TRX, Oscillator)]]="TRX", Table1[[#This Row],[Type (TX, RX, TRX, Oscillator)]]="TRX FE"),I104,#N/A)</f>
        <v>#N/A</v>
      </c>
      <c r="M104" s="1" t="e">
        <f>IF(Table1[[#This Row],[Type (TX, RX, TRX, Oscillator)]]="Oscillator",I104,#N/A)</f>
        <v>#N/A</v>
      </c>
      <c r="N104" s="1" t="e">
        <f>IF(Table1[[#This Row],[Type (TX, RX, TRX, Oscillator)]]="Relay",I104,#N/A)</f>
        <v>#N/A</v>
      </c>
    </row>
    <row r="105" spans="1:14" x14ac:dyDescent="0.2">
      <c r="A105" s="1">
        <f>Table1[[#This Row],[Frequency (GHz)]]</f>
        <v>28</v>
      </c>
      <c r="B105" s="1">
        <f t="shared" si="1"/>
        <v>5.3571428571428568</v>
      </c>
      <c r="C105" s="1" t="e">
        <f>IF(ISNUMBER(Table1[[#This Row],[Chip Core Area / Element (mm2)]]),SQRT(Table1[[#This Row],[Chip Core Area / Element (mm2)]]),#N/A)</f>
        <v>#N/A</v>
      </c>
      <c r="D105" s="1" t="e">
        <f>IF(OR(Table1[[#This Row],[Type (TX, RX, TRX, Oscillator)]]="TX", Table1[[#This Row],[Type (TX, RX, TRX, Oscillator)]]="TX FE"),C105,#N/A)</f>
        <v>#N/A</v>
      </c>
      <c r="E105" s="1" t="e">
        <f>IF(OR(Table1[[#This Row],[Type (TX, RX, TRX, Oscillator)]]="RX", Table1[[#This Row],[Type (TX, RX, TRX, Oscillator)]]="RX FE"),C105,#N/A)</f>
        <v>#N/A</v>
      </c>
      <c r="F105" s="1" t="e">
        <f>IF(OR(Table1[[#This Row],[Type (TX, RX, TRX, Oscillator)]]="TRX", Table1[[#This Row],[Type (TX, RX, TRX, Oscillator)]]="TRX FE"),C105,#N/A)</f>
        <v>#N/A</v>
      </c>
      <c r="G105" s="1" t="e">
        <f>IF(Table1[[#This Row],[Type (TX, RX, TRX, Oscillator)]]="Oscillator",C105,#N/A)</f>
        <v>#N/A</v>
      </c>
      <c r="H105" s="1" t="e">
        <f>IF(Table1[[#This Row],[Type (TX, RX, TRX, Oscillator)]]="Relay",C105,#N/A)</f>
        <v>#N/A</v>
      </c>
      <c r="I105" s="1">
        <f>IF(ISNUMBER(Table1[[#This Row],[Array Aperture Area / Element (mm2)]]),SQRT(Table1[[#This Row],[Array Aperture Area / Element (mm2)]]),#N/A)</f>
        <v>4.4280356818797202</v>
      </c>
      <c r="J105" s="1" t="e">
        <f>IF(OR(Table1[[#This Row],[Type (TX, RX, TRX, Oscillator)]]="TX",Table1[[#This Row],[Type (TX, RX, TRX, Oscillator)]]="TX FE"),I105,#N/A)</f>
        <v>#N/A</v>
      </c>
      <c r="K105" s="1" t="e">
        <f>IF(OR(Table1[[#This Row],[Type (TX, RX, TRX, Oscillator)]]="RX",Table1[[#This Row],[Type (TX, RX, TRX, Oscillator)]]="RX FE"),I105,#N/A)</f>
        <v>#N/A</v>
      </c>
      <c r="L105" s="1">
        <f>IF(OR(Table1[[#This Row],[Type (TX, RX, TRX, Oscillator)]]="TRX", Table1[[#This Row],[Type (TX, RX, TRX, Oscillator)]]="TRX FE"),I105,#N/A)</f>
        <v>4.4280356818797202</v>
      </c>
      <c r="M105" s="1" t="e">
        <f>IF(Table1[[#This Row],[Type (TX, RX, TRX, Oscillator)]]="Oscillator",I105,#N/A)</f>
        <v>#N/A</v>
      </c>
      <c r="N105" s="1" t="e">
        <f>IF(Table1[[#This Row],[Type (TX, RX, TRX, Oscillator)]]="Relay",I105,#N/A)</f>
        <v>#N/A</v>
      </c>
    </row>
    <row r="106" spans="1:14" x14ac:dyDescent="0.2">
      <c r="A106" s="1">
        <f>Table1[[#This Row],[Frequency (GHz)]]</f>
        <v>39</v>
      </c>
      <c r="B106" s="1">
        <f t="shared" si="1"/>
        <v>3.8461538461538463</v>
      </c>
      <c r="C106" s="1" t="e">
        <f>IF(ISNUMBER(Table1[[#This Row],[Chip Core Area / Element (mm2)]]),SQRT(Table1[[#This Row],[Chip Core Area / Element (mm2)]]),#N/A)</f>
        <v>#N/A</v>
      </c>
      <c r="D106" s="1" t="e">
        <f>IF(OR(Table1[[#This Row],[Type (TX, RX, TRX, Oscillator)]]="TX", Table1[[#This Row],[Type (TX, RX, TRX, Oscillator)]]="TX FE"),C106,#N/A)</f>
        <v>#N/A</v>
      </c>
      <c r="E106" s="1" t="e">
        <f>IF(OR(Table1[[#This Row],[Type (TX, RX, TRX, Oscillator)]]="RX", Table1[[#This Row],[Type (TX, RX, TRX, Oscillator)]]="RX FE"),C106,#N/A)</f>
        <v>#N/A</v>
      </c>
      <c r="F106" s="1" t="e">
        <f>IF(OR(Table1[[#This Row],[Type (TX, RX, TRX, Oscillator)]]="TRX", Table1[[#This Row],[Type (TX, RX, TRX, Oscillator)]]="TRX FE"),C106,#N/A)</f>
        <v>#N/A</v>
      </c>
      <c r="G106" s="1" t="e">
        <f>IF(Table1[[#This Row],[Type (TX, RX, TRX, Oscillator)]]="Oscillator",C106,#N/A)</f>
        <v>#N/A</v>
      </c>
      <c r="H106" s="1" t="e">
        <f>IF(Table1[[#This Row],[Type (TX, RX, TRX, Oscillator)]]="Relay",C106,#N/A)</f>
        <v>#N/A</v>
      </c>
      <c r="I106" s="1">
        <f>IF(ISNUMBER(Table1[[#This Row],[Array Aperture Area / Element (mm2)]]),SQRT(Table1[[#This Row],[Array Aperture Area / Element (mm2)]]),#N/A)</f>
        <v>4.4280356818797202</v>
      </c>
      <c r="J106" s="1" t="e">
        <f>IF(OR(Table1[[#This Row],[Type (TX, RX, TRX, Oscillator)]]="TX",Table1[[#This Row],[Type (TX, RX, TRX, Oscillator)]]="TX FE"),I106,#N/A)</f>
        <v>#N/A</v>
      </c>
      <c r="K106" s="1" t="e">
        <f>IF(OR(Table1[[#This Row],[Type (TX, RX, TRX, Oscillator)]]="RX",Table1[[#This Row],[Type (TX, RX, TRX, Oscillator)]]="RX FE"),I106,#N/A)</f>
        <v>#N/A</v>
      </c>
      <c r="L106" s="1">
        <f>IF(OR(Table1[[#This Row],[Type (TX, RX, TRX, Oscillator)]]="TRX", Table1[[#This Row],[Type (TX, RX, TRX, Oscillator)]]="TRX FE"),I106,#N/A)</f>
        <v>4.4280356818797202</v>
      </c>
      <c r="M106" s="1" t="e">
        <f>IF(Table1[[#This Row],[Type (TX, RX, TRX, Oscillator)]]="Oscillator",I106,#N/A)</f>
        <v>#N/A</v>
      </c>
      <c r="N106" s="1" t="e">
        <f>IF(Table1[[#This Row],[Type (TX, RX, TRX, Oscillator)]]="Relay",I106,#N/A)</f>
        <v>#N/A</v>
      </c>
    </row>
    <row r="107" spans="1:14" x14ac:dyDescent="0.2">
      <c r="A107" s="1">
        <f>Table1[[#This Row],[Frequency (GHz)]]</f>
        <v>29</v>
      </c>
      <c r="B107" s="1">
        <f t="shared" si="1"/>
        <v>5.1724137931034484</v>
      </c>
      <c r="C107" s="1" t="e">
        <f>IF(ISNUMBER(Table1[[#This Row],[Chip Core Area / Element (mm2)]]),SQRT(Table1[[#This Row],[Chip Core Area / Element (mm2)]]),#N/A)</f>
        <v>#N/A</v>
      </c>
      <c r="D107" s="1" t="e">
        <f>IF(OR(Table1[[#This Row],[Type (TX, RX, TRX, Oscillator)]]="TX", Table1[[#This Row],[Type (TX, RX, TRX, Oscillator)]]="TX FE"),C107,#N/A)</f>
        <v>#N/A</v>
      </c>
      <c r="E107" s="1" t="e">
        <f>IF(OR(Table1[[#This Row],[Type (TX, RX, TRX, Oscillator)]]="RX", Table1[[#This Row],[Type (TX, RX, TRX, Oscillator)]]="RX FE"),C107,#N/A)</f>
        <v>#N/A</v>
      </c>
      <c r="F107" s="1" t="e">
        <f>IF(OR(Table1[[#This Row],[Type (TX, RX, TRX, Oscillator)]]="TRX", Table1[[#This Row],[Type (TX, RX, TRX, Oscillator)]]="TRX FE"),C107,#N/A)</f>
        <v>#N/A</v>
      </c>
      <c r="G107" s="1" t="e">
        <f>IF(Table1[[#This Row],[Type (TX, RX, TRX, Oscillator)]]="Oscillator",C107,#N/A)</f>
        <v>#N/A</v>
      </c>
      <c r="H107" s="1" t="e">
        <f>IF(Table1[[#This Row],[Type (TX, RX, TRX, Oscillator)]]="Relay",C107,#N/A)</f>
        <v>#N/A</v>
      </c>
      <c r="I107" s="1" t="e">
        <f>IF(ISNUMBER(Table1[[#This Row],[Array Aperture Area / Element (mm2)]]),SQRT(Table1[[#This Row],[Array Aperture Area / Element (mm2)]]),#N/A)</f>
        <v>#N/A</v>
      </c>
      <c r="J107" s="1" t="e">
        <f>IF(OR(Table1[[#This Row],[Type (TX, RX, TRX, Oscillator)]]="TX",Table1[[#This Row],[Type (TX, RX, TRX, Oscillator)]]="TX FE"),I107,#N/A)</f>
        <v>#N/A</v>
      </c>
      <c r="K107" s="1" t="e">
        <f>IF(OR(Table1[[#This Row],[Type (TX, RX, TRX, Oscillator)]]="RX",Table1[[#This Row],[Type (TX, RX, TRX, Oscillator)]]="RX FE"),I107,#N/A)</f>
        <v>#N/A</v>
      </c>
      <c r="L107" s="1" t="e">
        <f>IF(OR(Table1[[#This Row],[Type (TX, RX, TRX, Oscillator)]]="TRX", Table1[[#This Row],[Type (TX, RX, TRX, Oscillator)]]="TRX FE"),I107,#N/A)</f>
        <v>#N/A</v>
      </c>
      <c r="M107" s="1" t="e">
        <f>IF(Table1[[#This Row],[Type (TX, RX, TRX, Oscillator)]]="Oscillator",I107,#N/A)</f>
        <v>#N/A</v>
      </c>
      <c r="N107" s="1" t="e">
        <f>IF(Table1[[#This Row],[Type (TX, RX, TRX, Oscillator)]]="Relay",I107,#N/A)</f>
        <v>#N/A</v>
      </c>
    </row>
    <row r="108" spans="1:14" x14ac:dyDescent="0.2">
      <c r="A108" s="1">
        <f>Table1[[#This Row],[Frequency (GHz)]]</f>
        <v>472</v>
      </c>
      <c r="B108" s="1">
        <f t="shared" si="1"/>
        <v>0.31779661016949151</v>
      </c>
      <c r="C108" s="1">
        <f>IF(ISNUMBER(Table1[[#This Row],[Chip Core Area / Element (mm2)]]),SQRT(Table1[[#This Row],[Chip Core Area / Element (mm2)]]),#N/A)</f>
        <v>0.26457513110645903</v>
      </c>
      <c r="D108" s="1" t="e">
        <f>IF(OR(Table1[[#This Row],[Type (TX, RX, TRX, Oscillator)]]="TX", Table1[[#This Row],[Type (TX, RX, TRX, Oscillator)]]="TX FE"),C108,#N/A)</f>
        <v>#N/A</v>
      </c>
      <c r="E108" s="1" t="e">
        <f>IF(OR(Table1[[#This Row],[Type (TX, RX, TRX, Oscillator)]]="RX", Table1[[#This Row],[Type (TX, RX, TRX, Oscillator)]]="RX FE"),C108,#N/A)</f>
        <v>#N/A</v>
      </c>
      <c r="F108" s="1" t="e">
        <f>IF(OR(Table1[[#This Row],[Type (TX, RX, TRX, Oscillator)]]="TRX", Table1[[#This Row],[Type (TX, RX, TRX, Oscillator)]]="TRX FE"),C108,#N/A)</f>
        <v>#N/A</v>
      </c>
      <c r="G108" s="1">
        <f>IF(Table1[[#This Row],[Type (TX, RX, TRX, Oscillator)]]="Oscillator",C108,#N/A)</f>
        <v>0.26457513110645903</v>
      </c>
      <c r="H108" s="1" t="e">
        <f>IF(Table1[[#This Row],[Type (TX, RX, TRX, Oscillator)]]="Relay",C108,#N/A)</f>
        <v>#N/A</v>
      </c>
      <c r="I108" s="1" t="e">
        <f>IF(ISNUMBER(Table1[[#This Row],[Array Aperture Area / Element (mm2)]]),SQRT(Table1[[#This Row],[Array Aperture Area / Element (mm2)]]),#N/A)</f>
        <v>#N/A</v>
      </c>
      <c r="J108" s="1" t="e">
        <f>IF(OR(Table1[[#This Row],[Type (TX, RX, TRX, Oscillator)]]="TX",Table1[[#This Row],[Type (TX, RX, TRX, Oscillator)]]="TX FE"),I108,#N/A)</f>
        <v>#N/A</v>
      </c>
      <c r="K108" s="1" t="e">
        <f>IF(OR(Table1[[#This Row],[Type (TX, RX, TRX, Oscillator)]]="RX",Table1[[#This Row],[Type (TX, RX, TRX, Oscillator)]]="RX FE"),I108,#N/A)</f>
        <v>#N/A</v>
      </c>
      <c r="L108" s="1" t="e">
        <f>IF(OR(Table1[[#This Row],[Type (TX, RX, TRX, Oscillator)]]="TRX", Table1[[#This Row],[Type (TX, RX, TRX, Oscillator)]]="TRX FE"),I108,#N/A)</f>
        <v>#N/A</v>
      </c>
      <c r="M108" s="1" t="e">
        <f>IF(Table1[[#This Row],[Type (TX, RX, TRX, Oscillator)]]="Oscillator",I108,#N/A)</f>
        <v>#N/A</v>
      </c>
      <c r="N108" s="1" t="e">
        <f>IF(Table1[[#This Row],[Type (TX, RX, TRX, Oscillator)]]="Relay",I108,#N/A)</f>
        <v>#N/A</v>
      </c>
    </row>
    <row r="109" spans="1:14" x14ac:dyDescent="0.2">
      <c r="A109" s="1">
        <f>Table1[[#This Row],[Frequency (GHz)]]</f>
        <v>416</v>
      </c>
      <c r="B109" s="1">
        <f t="shared" si="1"/>
        <v>0.36057692307692307</v>
      </c>
      <c r="C109" s="1">
        <f>IF(ISNUMBER(Table1[[#This Row],[Chip Core Area / Element (mm2)]]),SQRT(Table1[[#This Row],[Chip Core Area / Element (mm2)]]),#N/A)</f>
        <v>0.52855936279664939</v>
      </c>
      <c r="D109" s="1" t="e">
        <f>IF(OR(Table1[[#This Row],[Type (TX, RX, TRX, Oscillator)]]="TX", Table1[[#This Row],[Type (TX, RX, TRX, Oscillator)]]="TX FE"),C109,#N/A)</f>
        <v>#N/A</v>
      </c>
      <c r="E109" s="1" t="e">
        <f>IF(OR(Table1[[#This Row],[Type (TX, RX, TRX, Oscillator)]]="RX", Table1[[#This Row],[Type (TX, RX, TRX, Oscillator)]]="RX FE"),C109,#N/A)</f>
        <v>#N/A</v>
      </c>
      <c r="F109" s="1" t="e">
        <f>IF(OR(Table1[[#This Row],[Type (TX, RX, TRX, Oscillator)]]="TRX", Table1[[#This Row],[Type (TX, RX, TRX, Oscillator)]]="TRX FE"),C109,#N/A)</f>
        <v>#N/A</v>
      </c>
      <c r="G109" s="1">
        <f>IF(Table1[[#This Row],[Type (TX, RX, TRX, Oscillator)]]="Oscillator",C109,#N/A)</f>
        <v>0.52855936279664939</v>
      </c>
      <c r="H109" s="1" t="e">
        <f>IF(Table1[[#This Row],[Type (TX, RX, TRX, Oscillator)]]="Relay",C109,#N/A)</f>
        <v>#N/A</v>
      </c>
      <c r="I109" s="1" t="e">
        <f>IF(ISNUMBER(Table1[[#This Row],[Array Aperture Area / Element (mm2)]]),SQRT(Table1[[#This Row],[Array Aperture Area / Element (mm2)]]),#N/A)</f>
        <v>#N/A</v>
      </c>
      <c r="J109" s="1" t="e">
        <f>IF(OR(Table1[[#This Row],[Type (TX, RX, TRX, Oscillator)]]="TX",Table1[[#This Row],[Type (TX, RX, TRX, Oscillator)]]="TX FE"),I109,#N/A)</f>
        <v>#N/A</v>
      </c>
      <c r="K109" s="1" t="e">
        <f>IF(OR(Table1[[#This Row],[Type (TX, RX, TRX, Oscillator)]]="RX",Table1[[#This Row],[Type (TX, RX, TRX, Oscillator)]]="RX FE"),I109,#N/A)</f>
        <v>#N/A</v>
      </c>
      <c r="L109" s="1" t="e">
        <f>IF(OR(Table1[[#This Row],[Type (TX, RX, TRX, Oscillator)]]="TRX", Table1[[#This Row],[Type (TX, RX, TRX, Oscillator)]]="TRX FE"),I109,#N/A)</f>
        <v>#N/A</v>
      </c>
      <c r="M109" s="1" t="e">
        <f>IF(Table1[[#This Row],[Type (TX, RX, TRX, Oscillator)]]="Oscillator",I109,#N/A)</f>
        <v>#N/A</v>
      </c>
      <c r="N109" s="1" t="e">
        <f>IF(Table1[[#This Row],[Type (TX, RX, TRX, Oscillator)]]="Relay",I109,#N/A)</f>
        <v>#N/A</v>
      </c>
    </row>
    <row r="110" spans="1:14" x14ac:dyDescent="0.2">
      <c r="A110" s="1">
        <f>Table1[[#This Row],[Frequency (GHz)]]</f>
        <v>93</v>
      </c>
      <c r="B110" s="1">
        <f t="shared" si="1"/>
        <v>1.6129032258064515</v>
      </c>
      <c r="C110" s="1">
        <f>IF(ISNUMBER(Table1[[#This Row],[Chip Core Area / Element (mm2)]]),SQRT(Table1[[#This Row],[Chip Core Area / Element (mm2)]]),#N/A)</f>
        <v>1.1490430801323335</v>
      </c>
      <c r="D110" s="1">
        <f>IF(OR(Table1[[#This Row],[Type (TX, RX, TRX, Oscillator)]]="TX", Table1[[#This Row],[Type (TX, RX, TRX, Oscillator)]]="TX FE"),C110,#N/A)</f>
        <v>1.1490430801323335</v>
      </c>
      <c r="E110" s="1" t="e">
        <f>IF(OR(Table1[[#This Row],[Type (TX, RX, TRX, Oscillator)]]="RX", Table1[[#This Row],[Type (TX, RX, TRX, Oscillator)]]="RX FE"),C110,#N/A)</f>
        <v>#N/A</v>
      </c>
      <c r="F110" s="1" t="e">
        <f>IF(OR(Table1[[#This Row],[Type (TX, RX, TRX, Oscillator)]]="TRX", Table1[[#This Row],[Type (TX, RX, TRX, Oscillator)]]="TRX FE"),C110,#N/A)</f>
        <v>#N/A</v>
      </c>
      <c r="G110" s="1" t="e">
        <f>IF(Table1[[#This Row],[Type (TX, RX, TRX, Oscillator)]]="Oscillator",C110,#N/A)</f>
        <v>#N/A</v>
      </c>
      <c r="H110" s="1" t="e">
        <f>IF(Table1[[#This Row],[Type (TX, RX, TRX, Oscillator)]]="Relay",C110,#N/A)</f>
        <v>#N/A</v>
      </c>
      <c r="I110" s="1">
        <f>IF(ISNUMBER(Table1[[#This Row],[Array Aperture Area / Element (mm2)]]),SQRT(Table1[[#This Row],[Array Aperture Area / Element (mm2)]]),#N/A)</f>
        <v>2.15</v>
      </c>
      <c r="J110" s="1">
        <f>IF(OR(Table1[[#This Row],[Type (TX, RX, TRX, Oscillator)]]="TX",Table1[[#This Row],[Type (TX, RX, TRX, Oscillator)]]="TX FE"),I110,#N/A)</f>
        <v>2.15</v>
      </c>
      <c r="K110" s="1" t="e">
        <f>IF(OR(Table1[[#This Row],[Type (TX, RX, TRX, Oscillator)]]="RX",Table1[[#This Row],[Type (TX, RX, TRX, Oscillator)]]="RX FE"),I110,#N/A)</f>
        <v>#N/A</v>
      </c>
      <c r="L110" s="1" t="e">
        <f>IF(OR(Table1[[#This Row],[Type (TX, RX, TRX, Oscillator)]]="TRX", Table1[[#This Row],[Type (TX, RX, TRX, Oscillator)]]="TRX FE"),I110,#N/A)</f>
        <v>#N/A</v>
      </c>
      <c r="M110" s="1" t="e">
        <f>IF(Table1[[#This Row],[Type (TX, RX, TRX, Oscillator)]]="Oscillator",I110,#N/A)</f>
        <v>#N/A</v>
      </c>
      <c r="N110" s="1" t="e">
        <f>IF(Table1[[#This Row],[Type (TX, RX, TRX, Oscillator)]]="Relay",I110,#N/A)</f>
        <v>#N/A</v>
      </c>
    </row>
    <row r="111" spans="1:14" x14ac:dyDescent="0.2">
      <c r="A111" s="1">
        <f>Table1[[#This Row],[Frequency (GHz)]]</f>
        <v>93</v>
      </c>
      <c r="B111" s="1">
        <f t="shared" si="1"/>
        <v>1.6129032258064515</v>
      </c>
      <c r="C111" s="1">
        <f>IF(ISNUMBER(Table1[[#This Row],[Chip Core Area / Element (mm2)]]),SQRT(Table1[[#This Row],[Chip Core Area / Element (mm2)]]),#N/A)</f>
        <v>1.1490430801323335</v>
      </c>
      <c r="D111" s="1" t="e">
        <f>IF(OR(Table1[[#This Row],[Type (TX, RX, TRX, Oscillator)]]="TX", Table1[[#This Row],[Type (TX, RX, TRX, Oscillator)]]="TX FE"),C111,#N/A)</f>
        <v>#N/A</v>
      </c>
      <c r="E111" s="1">
        <f>IF(OR(Table1[[#This Row],[Type (TX, RX, TRX, Oscillator)]]="RX", Table1[[#This Row],[Type (TX, RX, TRX, Oscillator)]]="RX FE"),C111,#N/A)</f>
        <v>1.1490430801323335</v>
      </c>
      <c r="F111" s="1" t="e">
        <f>IF(OR(Table1[[#This Row],[Type (TX, RX, TRX, Oscillator)]]="TRX", Table1[[#This Row],[Type (TX, RX, TRX, Oscillator)]]="TRX FE"),C111,#N/A)</f>
        <v>#N/A</v>
      </c>
      <c r="G111" s="1" t="e">
        <f>IF(Table1[[#This Row],[Type (TX, RX, TRX, Oscillator)]]="Oscillator",C111,#N/A)</f>
        <v>#N/A</v>
      </c>
      <c r="H111" s="1" t="e">
        <f>IF(Table1[[#This Row],[Type (TX, RX, TRX, Oscillator)]]="Relay",C111,#N/A)</f>
        <v>#N/A</v>
      </c>
      <c r="I111" s="1">
        <f>IF(ISNUMBER(Table1[[#This Row],[Array Aperture Area / Element (mm2)]]),SQRT(Table1[[#This Row],[Array Aperture Area / Element (mm2)]]),#N/A)</f>
        <v>2.15</v>
      </c>
      <c r="J111" s="1" t="e">
        <f>IF(OR(Table1[[#This Row],[Type (TX, RX, TRX, Oscillator)]]="TX",Table1[[#This Row],[Type (TX, RX, TRX, Oscillator)]]="TX FE"),I111,#N/A)</f>
        <v>#N/A</v>
      </c>
      <c r="K111" s="1">
        <f>IF(OR(Table1[[#This Row],[Type (TX, RX, TRX, Oscillator)]]="RX",Table1[[#This Row],[Type (TX, RX, TRX, Oscillator)]]="RX FE"),I111,#N/A)</f>
        <v>2.15</v>
      </c>
      <c r="L111" s="1" t="e">
        <f>IF(OR(Table1[[#This Row],[Type (TX, RX, TRX, Oscillator)]]="TRX", Table1[[#This Row],[Type (TX, RX, TRX, Oscillator)]]="TRX FE"),I111,#N/A)</f>
        <v>#N/A</v>
      </c>
      <c r="M111" s="1" t="e">
        <f>IF(Table1[[#This Row],[Type (TX, RX, TRX, Oscillator)]]="Oscillator",I111,#N/A)</f>
        <v>#N/A</v>
      </c>
      <c r="N111" s="1" t="e">
        <f>IF(Table1[[#This Row],[Type (TX, RX, TRX, Oscillator)]]="Relay",I111,#N/A)</f>
        <v>#N/A</v>
      </c>
    </row>
    <row r="112" spans="1:14" x14ac:dyDescent="0.2">
      <c r="A112" s="1">
        <f>Table1[[#This Row],[Frequency (GHz)]]</f>
        <v>27</v>
      </c>
      <c r="B112" s="1">
        <f t="shared" si="1"/>
        <v>5.5555555555555554</v>
      </c>
      <c r="C112" s="1">
        <f>IF(ISNUMBER(Table1[[#This Row],[Chip Core Area / Element (mm2)]]),SQRT(Table1[[#This Row],[Chip Core Area / Element (mm2)]]),#N/A)</f>
        <v>1.9178112524437851</v>
      </c>
      <c r="D112" s="1" t="e">
        <f>IF(OR(Table1[[#This Row],[Type (TX, RX, TRX, Oscillator)]]="TX", Table1[[#This Row],[Type (TX, RX, TRX, Oscillator)]]="TX FE"),C112,#N/A)</f>
        <v>#N/A</v>
      </c>
      <c r="E112" s="1" t="e">
        <f>IF(OR(Table1[[#This Row],[Type (TX, RX, TRX, Oscillator)]]="RX", Table1[[#This Row],[Type (TX, RX, TRX, Oscillator)]]="RX FE"),C112,#N/A)</f>
        <v>#N/A</v>
      </c>
      <c r="F112" s="1">
        <f>IF(OR(Table1[[#This Row],[Type (TX, RX, TRX, Oscillator)]]="TRX", Table1[[#This Row],[Type (TX, RX, TRX, Oscillator)]]="TRX FE"),C112,#N/A)</f>
        <v>1.9178112524437851</v>
      </c>
      <c r="G112" s="1" t="e">
        <f>IF(Table1[[#This Row],[Type (TX, RX, TRX, Oscillator)]]="Oscillator",C112,#N/A)</f>
        <v>#N/A</v>
      </c>
      <c r="H112" s="1" t="e">
        <f>IF(Table1[[#This Row],[Type (TX, RX, TRX, Oscillator)]]="Relay",C112,#N/A)</f>
        <v>#N/A</v>
      </c>
      <c r="I112" s="1">
        <f>IF(ISNUMBER(Table1[[#This Row],[Array Aperture Area / Element (mm2)]]),SQRT(Table1[[#This Row],[Array Aperture Area / Element (mm2)]]),#N/A)</f>
        <v>2.65625</v>
      </c>
      <c r="J112" s="1" t="e">
        <f>IF(OR(Table1[[#This Row],[Type (TX, RX, TRX, Oscillator)]]="TX",Table1[[#This Row],[Type (TX, RX, TRX, Oscillator)]]="TX FE"),I112,#N/A)</f>
        <v>#N/A</v>
      </c>
      <c r="K112" s="1" t="e">
        <f>IF(OR(Table1[[#This Row],[Type (TX, RX, TRX, Oscillator)]]="RX",Table1[[#This Row],[Type (TX, RX, TRX, Oscillator)]]="RX FE"),I112,#N/A)</f>
        <v>#N/A</v>
      </c>
      <c r="L112" s="1">
        <f>IF(OR(Table1[[#This Row],[Type (TX, RX, TRX, Oscillator)]]="TRX", Table1[[#This Row],[Type (TX, RX, TRX, Oscillator)]]="TRX FE"),I112,#N/A)</f>
        <v>2.65625</v>
      </c>
      <c r="M112" s="1" t="e">
        <f>IF(Table1[[#This Row],[Type (TX, RX, TRX, Oscillator)]]="Oscillator",I112,#N/A)</f>
        <v>#N/A</v>
      </c>
      <c r="N112" s="1" t="e">
        <f>IF(Table1[[#This Row],[Type (TX, RX, TRX, Oscillator)]]="Relay",I112,#N/A)</f>
        <v>#N/A</v>
      </c>
    </row>
    <row r="113" spans="1:14" x14ac:dyDescent="0.2">
      <c r="A113" s="1">
        <f>Table1[[#This Row],[Frequency (GHz)]]</f>
        <v>150</v>
      </c>
      <c r="B113" s="1">
        <f t="shared" si="1"/>
        <v>1</v>
      </c>
      <c r="C113" s="1">
        <f>IF(ISNUMBER(Table1[[#This Row],[Chip Core Area / Element (mm2)]]),SQRT(Table1[[#This Row],[Chip Core Area / Element (mm2)]]),#N/A)</f>
        <v>0.98931794687046892</v>
      </c>
      <c r="D113" s="1">
        <f>IF(OR(Table1[[#This Row],[Type (TX, RX, TRX, Oscillator)]]="TX", Table1[[#This Row],[Type (TX, RX, TRX, Oscillator)]]="TX FE"),C113,#N/A)</f>
        <v>0.98931794687046892</v>
      </c>
      <c r="E113" s="1" t="e">
        <f>IF(OR(Table1[[#This Row],[Type (TX, RX, TRX, Oscillator)]]="RX", Table1[[#This Row],[Type (TX, RX, TRX, Oscillator)]]="RX FE"),C113,#N/A)</f>
        <v>#N/A</v>
      </c>
      <c r="F113" s="1" t="e">
        <f>IF(OR(Table1[[#This Row],[Type (TX, RX, TRX, Oscillator)]]="TRX", Table1[[#This Row],[Type (TX, RX, TRX, Oscillator)]]="TRX FE"),C113,#N/A)</f>
        <v>#N/A</v>
      </c>
      <c r="G113" s="1" t="e">
        <f>IF(Table1[[#This Row],[Type (TX, RX, TRX, Oscillator)]]="Oscillator",C113,#N/A)</f>
        <v>#N/A</v>
      </c>
      <c r="H113" s="1" t="e">
        <f>IF(Table1[[#This Row],[Type (TX, RX, TRX, Oscillator)]]="Relay",C113,#N/A)</f>
        <v>#N/A</v>
      </c>
      <c r="I113" s="1">
        <f>IF(ISNUMBER(Table1[[#This Row],[Array Aperture Area / Element (mm2)]]),SQRT(Table1[[#This Row],[Array Aperture Area / Element (mm2)]]),#N/A)</f>
        <v>1.0416666666666667</v>
      </c>
      <c r="J113" s="1">
        <f>IF(OR(Table1[[#This Row],[Type (TX, RX, TRX, Oscillator)]]="TX",Table1[[#This Row],[Type (TX, RX, TRX, Oscillator)]]="TX FE"),I113,#N/A)</f>
        <v>1.0416666666666667</v>
      </c>
      <c r="K113" s="1" t="e">
        <f>IF(OR(Table1[[#This Row],[Type (TX, RX, TRX, Oscillator)]]="RX",Table1[[#This Row],[Type (TX, RX, TRX, Oscillator)]]="RX FE"),I113,#N/A)</f>
        <v>#N/A</v>
      </c>
      <c r="L113" s="1" t="e">
        <f>IF(OR(Table1[[#This Row],[Type (TX, RX, TRX, Oscillator)]]="TRX", Table1[[#This Row],[Type (TX, RX, TRX, Oscillator)]]="TRX FE"),I113,#N/A)</f>
        <v>#N/A</v>
      </c>
      <c r="M113" s="1" t="e">
        <f>IF(Table1[[#This Row],[Type (TX, RX, TRX, Oscillator)]]="Oscillator",I113,#N/A)</f>
        <v>#N/A</v>
      </c>
      <c r="N113" s="1" t="e">
        <f>IF(Table1[[#This Row],[Type (TX, RX, TRX, Oscillator)]]="Relay",I113,#N/A)</f>
        <v>#N/A</v>
      </c>
    </row>
    <row r="114" spans="1:14" x14ac:dyDescent="0.2">
      <c r="A114" s="1">
        <f>Table1[[#This Row],[Frequency (GHz)]]</f>
        <v>150</v>
      </c>
      <c r="B114" s="1">
        <f t="shared" si="1"/>
        <v>1</v>
      </c>
      <c r="C114" s="1">
        <f>IF(ISNUMBER(Table1[[#This Row],[Chip Core Area / Element (mm2)]]),SQRT(Table1[[#This Row],[Chip Core Area / Element (mm2)]]),#N/A)</f>
        <v>0.96072888995803596</v>
      </c>
      <c r="D114" s="1" t="e">
        <f>IF(OR(Table1[[#This Row],[Type (TX, RX, TRX, Oscillator)]]="TX", Table1[[#This Row],[Type (TX, RX, TRX, Oscillator)]]="TX FE"),C114,#N/A)</f>
        <v>#N/A</v>
      </c>
      <c r="E114" s="1">
        <f>IF(OR(Table1[[#This Row],[Type (TX, RX, TRX, Oscillator)]]="RX", Table1[[#This Row],[Type (TX, RX, TRX, Oscillator)]]="RX FE"),C114,#N/A)</f>
        <v>0.96072888995803596</v>
      </c>
      <c r="F114" s="1" t="e">
        <f>IF(OR(Table1[[#This Row],[Type (TX, RX, TRX, Oscillator)]]="TRX", Table1[[#This Row],[Type (TX, RX, TRX, Oscillator)]]="TRX FE"),C114,#N/A)</f>
        <v>#N/A</v>
      </c>
      <c r="G114" s="1" t="e">
        <f>IF(Table1[[#This Row],[Type (TX, RX, TRX, Oscillator)]]="Oscillator",C114,#N/A)</f>
        <v>#N/A</v>
      </c>
      <c r="H114" s="1" t="e">
        <f>IF(Table1[[#This Row],[Type (TX, RX, TRX, Oscillator)]]="Relay",C114,#N/A)</f>
        <v>#N/A</v>
      </c>
      <c r="I114" s="1">
        <f>IF(ISNUMBER(Table1[[#This Row],[Array Aperture Area / Element (mm2)]]),SQRT(Table1[[#This Row],[Array Aperture Area / Element (mm2)]]),#N/A)</f>
        <v>1.0416666666666667</v>
      </c>
      <c r="J114" s="1" t="e">
        <f>IF(OR(Table1[[#This Row],[Type (TX, RX, TRX, Oscillator)]]="TX",Table1[[#This Row],[Type (TX, RX, TRX, Oscillator)]]="TX FE"),I114,#N/A)</f>
        <v>#N/A</v>
      </c>
      <c r="K114" s="1">
        <f>IF(OR(Table1[[#This Row],[Type (TX, RX, TRX, Oscillator)]]="RX",Table1[[#This Row],[Type (TX, RX, TRX, Oscillator)]]="RX FE"),I114,#N/A)</f>
        <v>1.0416666666666667</v>
      </c>
      <c r="L114" s="1" t="e">
        <f>IF(OR(Table1[[#This Row],[Type (TX, RX, TRX, Oscillator)]]="TRX", Table1[[#This Row],[Type (TX, RX, TRX, Oscillator)]]="TRX FE"),I114,#N/A)</f>
        <v>#N/A</v>
      </c>
      <c r="M114" s="1" t="e">
        <f>IF(Table1[[#This Row],[Type (TX, RX, TRX, Oscillator)]]="Oscillator",I114,#N/A)</f>
        <v>#N/A</v>
      </c>
      <c r="N114" s="1" t="e">
        <f>IF(Table1[[#This Row],[Type (TX, RX, TRX, Oscillator)]]="Relay",I114,#N/A)</f>
        <v>#N/A</v>
      </c>
    </row>
    <row r="115" spans="1:14" x14ac:dyDescent="0.2">
      <c r="A115" s="1">
        <f>Table1[[#This Row],[Frequency (GHz)]]</f>
        <v>28</v>
      </c>
      <c r="B115" s="1">
        <f t="shared" si="1"/>
        <v>5.3571428571428568</v>
      </c>
      <c r="C115" s="1">
        <f>IF(ISNUMBER(Table1[[#This Row],[Chip Core Area / Element (mm2)]]),SQRT(Table1[[#This Row],[Chip Core Area / Element (mm2)]]),#N/A)</f>
        <v>0.88593171294406203</v>
      </c>
      <c r="D115" s="1" t="e">
        <f>IF(OR(Table1[[#This Row],[Type (TX, RX, TRX, Oscillator)]]="TX", Table1[[#This Row],[Type (TX, RX, TRX, Oscillator)]]="TX FE"),C115,#N/A)</f>
        <v>#N/A</v>
      </c>
      <c r="E115" s="1" t="e">
        <f>IF(OR(Table1[[#This Row],[Type (TX, RX, TRX, Oscillator)]]="RX", Table1[[#This Row],[Type (TX, RX, TRX, Oscillator)]]="RX FE"),C115,#N/A)</f>
        <v>#N/A</v>
      </c>
      <c r="F115" s="1">
        <f>IF(OR(Table1[[#This Row],[Type (TX, RX, TRX, Oscillator)]]="TRX", Table1[[#This Row],[Type (TX, RX, TRX, Oscillator)]]="TRX FE"),C115,#N/A)</f>
        <v>0.88593171294406203</v>
      </c>
      <c r="G115" s="1" t="e">
        <f>IF(Table1[[#This Row],[Type (TX, RX, TRX, Oscillator)]]="Oscillator",C115,#N/A)</f>
        <v>#N/A</v>
      </c>
      <c r="H115" s="1" t="e">
        <f>IF(Table1[[#This Row],[Type (TX, RX, TRX, Oscillator)]]="Relay",C115,#N/A)</f>
        <v>#N/A</v>
      </c>
      <c r="I115" s="1" t="e">
        <f>IF(ISNUMBER(Table1[[#This Row],[Array Aperture Area / Element (mm2)]]),SQRT(Table1[[#This Row],[Array Aperture Area / Element (mm2)]]),#N/A)</f>
        <v>#N/A</v>
      </c>
      <c r="J115" s="1" t="e">
        <f>IF(OR(Table1[[#This Row],[Type (TX, RX, TRX, Oscillator)]]="TX",Table1[[#This Row],[Type (TX, RX, TRX, Oscillator)]]="TX FE"),I115,#N/A)</f>
        <v>#N/A</v>
      </c>
      <c r="K115" s="1" t="e">
        <f>IF(OR(Table1[[#This Row],[Type (TX, RX, TRX, Oscillator)]]="RX",Table1[[#This Row],[Type (TX, RX, TRX, Oscillator)]]="RX FE"),I115,#N/A)</f>
        <v>#N/A</v>
      </c>
      <c r="L115" s="1" t="e">
        <f>IF(OR(Table1[[#This Row],[Type (TX, RX, TRX, Oscillator)]]="TRX", Table1[[#This Row],[Type (TX, RX, TRX, Oscillator)]]="TRX FE"),I115,#N/A)</f>
        <v>#N/A</v>
      </c>
      <c r="M115" s="1" t="e">
        <f>IF(Table1[[#This Row],[Type (TX, RX, TRX, Oscillator)]]="Oscillator",I115,#N/A)</f>
        <v>#N/A</v>
      </c>
      <c r="N115" s="1" t="e">
        <f>IF(Table1[[#This Row],[Type (TX, RX, TRX, Oscillator)]]="Relay",I115,#N/A)</f>
        <v>#N/A</v>
      </c>
    </row>
    <row r="116" spans="1:14" x14ac:dyDescent="0.2">
      <c r="A116" s="1">
        <f>Table1[[#This Row],[Frequency (GHz)]]</f>
        <v>18</v>
      </c>
      <c r="B116" s="1">
        <f t="shared" si="1"/>
        <v>8.3333333333333339</v>
      </c>
      <c r="C116" s="1">
        <f>IF(ISNUMBER(Table1[[#This Row],[Chip Core Area / Element (mm2)]]),SQRT(Table1[[#This Row],[Chip Core Area / Element (mm2)]]),#N/A)</f>
        <v>1.6412495239907916</v>
      </c>
      <c r="D116" s="1" t="e">
        <f>IF(OR(Table1[[#This Row],[Type (TX, RX, TRX, Oscillator)]]="TX", Table1[[#This Row],[Type (TX, RX, TRX, Oscillator)]]="TX FE"),C116,#N/A)</f>
        <v>#N/A</v>
      </c>
      <c r="E116" s="1">
        <f>IF(OR(Table1[[#This Row],[Type (TX, RX, TRX, Oscillator)]]="RX", Table1[[#This Row],[Type (TX, RX, TRX, Oscillator)]]="RX FE"),C116,#N/A)</f>
        <v>1.6412495239907916</v>
      </c>
      <c r="F116" s="1" t="e">
        <f>IF(OR(Table1[[#This Row],[Type (TX, RX, TRX, Oscillator)]]="TRX", Table1[[#This Row],[Type (TX, RX, TRX, Oscillator)]]="TRX FE"),C116,#N/A)</f>
        <v>#N/A</v>
      </c>
      <c r="G116" s="1" t="e">
        <f>IF(Table1[[#This Row],[Type (TX, RX, TRX, Oscillator)]]="Oscillator",C116,#N/A)</f>
        <v>#N/A</v>
      </c>
      <c r="H116" s="1" t="e">
        <f>IF(Table1[[#This Row],[Type (TX, RX, TRX, Oscillator)]]="Relay",C116,#N/A)</f>
        <v>#N/A</v>
      </c>
      <c r="I116" s="1" t="e">
        <f>IF(ISNUMBER(Table1[[#This Row],[Array Aperture Area / Element (mm2)]]),SQRT(Table1[[#This Row],[Array Aperture Area / Element (mm2)]]),#N/A)</f>
        <v>#N/A</v>
      </c>
      <c r="J116" s="1" t="e">
        <f>IF(OR(Table1[[#This Row],[Type (TX, RX, TRX, Oscillator)]]="TX",Table1[[#This Row],[Type (TX, RX, TRX, Oscillator)]]="TX FE"),I116,#N/A)</f>
        <v>#N/A</v>
      </c>
      <c r="K116" s="1" t="e">
        <f>IF(OR(Table1[[#This Row],[Type (TX, RX, TRX, Oscillator)]]="RX",Table1[[#This Row],[Type (TX, RX, TRX, Oscillator)]]="RX FE"),I116,#N/A)</f>
        <v>#N/A</v>
      </c>
      <c r="L116" s="1" t="e">
        <f>IF(OR(Table1[[#This Row],[Type (TX, RX, TRX, Oscillator)]]="TRX", Table1[[#This Row],[Type (TX, RX, TRX, Oscillator)]]="TRX FE"),I116,#N/A)</f>
        <v>#N/A</v>
      </c>
      <c r="M116" s="1" t="e">
        <f>IF(Table1[[#This Row],[Type (TX, RX, TRX, Oscillator)]]="Oscillator",I116,#N/A)</f>
        <v>#N/A</v>
      </c>
      <c r="N116" s="1" t="e">
        <f>IF(Table1[[#This Row],[Type (TX, RX, TRX, Oscillator)]]="Relay",I116,#N/A)</f>
        <v>#N/A</v>
      </c>
    </row>
    <row r="117" spans="1:14" x14ac:dyDescent="0.2">
      <c r="A117" s="1">
        <f>Table1[[#This Row],[Frequency (GHz)]]</f>
        <v>28.7</v>
      </c>
      <c r="B117" s="1">
        <f t="shared" si="1"/>
        <v>5.2264808362369344</v>
      </c>
      <c r="C117" s="1">
        <f>IF(ISNUMBER(Table1[[#This Row],[Chip Core Area / Element (mm2)]]),SQRT(Table1[[#This Row],[Chip Core Area / Element (mm2)]]),#N/A)</f>
        <v>2.3118499086229622</v>
      </c>
      <c r="D117" s="1">
        <f>IF(OR(Table1[[#This Row],[Type (TX, RX, TRX, Oscillator)]]="TX", Table1[[#This Row],[Type (TX, RX, TRX, Oscillator)]]="TX FE"),C117,#N/A)</f>
        <v>2.3118499086229622</v>
      </c>
      <c r="E117" s="1" t="e">
        <f>IF(OR(Table1[[#This Row],[Type (TX, RX, TRX, Oscillator)]]="RX", Table1[[#This Row],[Type (TX, RX, TRX, Oscillator)]]="RX FE"),C117,#N/A)</f>
        <v>#N/A</v>
      </c>
      <c r="F117" s="1" t="e">
        <f>IF(OR(Table1[[#This Row],[Type (TX, RX, TRX, Oscillator)]]="TRX", Table1[[#This Row],[Type (TX, RX, TRX, Oscillator)]]="TRX FE"),C117,#N/A)</f>
        <v>#N/A</v>
      </c>
      <c r="G117" s="1" t="e">
        <f>IF(Table1[[#This Row],[Type (TX, RX, TRX, Oscillator)]]="Oscillator",C117,#N/A)</f>
        <v>#N/A</v>
      </c>
      <c r="H117" s="1" t="e">
        <f>IF(Table1[[#This Row],[Type (TX, RX, TRX, Oscillator)]]="Relay",C117,#N/A)</f>
        <v>#N/A</v>
      </c>
      <c r="I117" s="1" t="e">
        <f>IF(ISNUMBER(Table1[[#This Row],[Array Aperture Area / Element (mm2)]]),SQRT(Table1[[#This Row],[Array Aperture Area / Element (mm2)]]),#N/A)</f>
        <v>#N/A</v>
      </c>
      <c r="J117" s="1" t="e">
        <f>IF(OR(Table1[[#This Row],[Type (TX, RX, TRX, Oscillator)]]="TX",Table1[[#This Row],[Type (TX, RX, TRX, Oscillator)]]="TX FE"),I117,#N/A)</f>
        <v>#N/A</v>
      </c>
      <c r="K117" s="1" t="e">
        <f>IF(OR(Table1[[#This Row],[Type (TX, RX, TRX, Oscillator)]]="RX",Table1[[#This Row],[Type (TX, RX, TRX, Oscillator)]]="RX FE"),I117,#N/A)</f>
        <v>#N/A</v>
      </c>
      <c r="L117" s="1" t="e">
        <f>IF(OR(Table1[[#This Row],[Type (TX, RX, TRX, Oscillator)]]="TRX", Table1[[#This Row],[Type (TX, RX, TRX, Oscillator)]]="TRX FE"),I117,#N/A)</f>
        <v>#N/A</v>
      </c>
      <c r="M117" s="1" t="e">
        <f>IF(Table1[[#This Row],[Type (TX, RX, TRX, Oscillator)]]="Oscillator",I117,#N/A)</f>
        <v>#N/A</v>
      </c>
      <c r="N117" s="1" t="e">
        <f>IF(Table1[[#This Row],[Type (TX, RX, TRX, Oscillator)]]="Relay",I117,#N/A)</f>
        <v>#N/A</v>
      </c>
    </row>
    <row r="118" spans="1:14" x14ac:dyDescent="0.2">
      <c r="A118" s="1">
        <f>Table1[[#This Row],[Frequency (GHz)]]</f>
        <v>28</v>
      </c>
      <c r="B118" s="1">
        <f t="shared" si="1"/>
        <v>5.3571428571428568</v>
      </c>
      <c r="C118" s="1">
        <f>IF(ISNUMBER(Table1[[#This Row],[Chip Core Area / Element (mm2)]]),SQRT(Table1[[#This Row],[Chip Core Area / Element (mm2)]]),#N/A)</f>
        <v>1.944222209522358</v>
      </c>
      <c r="D118" s="1" t="e">
        <f>IF(OR(Table1[[#This Row],[Type (TX, RX, TRX, Oscillator)]]="TX", Table1[[#This Row],[Type (TX, RX, TRX, Oscillator)]]="TX FE"),C118,#N/A)</f>
        <v>#N/A</v>
      </c>
      <c r="E118" s="1">
        <f>IF(OR(Table1[[#This Row],[Type (TX, RX, TRX, Oscillator)]]="RX", Table1[[#This Row],[Type (TX, RX, TRX, Oscillator)]]="RX FE"),C118,#N/A)</f>
        <v>1.944222209522358</v>
      </c>
      <c r="F118" s="1" t="e">
        <f>IF(OR(Table1[[#This Row],[Type (TX, RX, TRX, Oscillator)]]="TRX", Table1[[#This Row],[Type (TX, RX, TRX, Oscillator)]]="TRX FE"),C118,#N/A)</f>
        <v>#N/A</v>
      </c>
      <c r="G118" s="1" t="e">
        <f>IF(Table1[[#This Row],[Type (TX, RX, TRX, Oscillator)]]="Oscillator",C118,#N/A)</f>
        <v>#N/A</v>
      </c>
      <c r="H118" s="1" t="e">
        <f>IF(Table1[[#This Row],[Type (TX, RX, TRX, Oscillator)]]="Relay",C118,#N/A)</f>
        <v>#N/A</v>
      </c>
      <c r="I118" s="1" t="e">
        <f>IF(ISNUMBER(Table1[[#This Row],[Array Aperture Area / Element (mm2)]]),SQRT(Table1[[#This Row],[Array Aperture Area / Element (mm2)]]),#N/A)</f>
        <v>#N/A</v>
      </c>
      <c r="J118" s="1" t="e">
        <f>IF(OR(Table1[[#This Row],[Type (TX, RX, TRX, Oscillator)]]="TX",Table1[[#This Row],[Type (TX, RX, TRX, Oscillator)]]="TX FE"),I118,#N/A)</f>
        <v>#N/A</v>
      </c>
      <c r="K118" s="1" t="e">
        <f>IF(OR(Table1[[#This Row],[Type (TX, RX, TRX, Oscillator)]]="RX",Table1[[#This Row],[Type (TX, RX, TRX, Oscillator)]]="RX FE"),I118,#N/A)</f>
        <v>#N/A</v>
      </c>
      <c r="L118" s="1" t="e">
        <f>IF(OR(Table1[[#This Row],[Type (TX, RX, TRX, Oscillator)]]="TRX", Table1[[#This Row],[Type (TX, RX, TRX, Oscillator)]]="TRX FE"),I118,#N/A)</f>
        <v>#N/A</v>
      </c>
      <c r="M118" s="1" t="e">
        <f>IF(Table1[[#This Row],[Type (TX, RX, TRX, Oscillator)]]="Oscillator",I118,#N/A)</f>
        <v>#N/A</v>
      </c>
      <c r="N118" s="1" t="e">
        <f>IF(Table1[[#This Row],[Type (TX, RX, TRX, Oscillator)]]="Relay",I118,#N/A)</f>
        <v>#N/A</v>
      </c>
    </row>
    <row r="119" spans="1:14" x14ac:dyDescent="0.2">
      <c r="A119" s="1">
        <f>Table1[[#This Row],[Frequency (GHz)]]</f>
        <v>39</v>
      </c>
      <c r="B119" s="1">
        <f t="shared" si="1"/>
        <v>3.8461538461538463</v>
      </c>
      <c r="C119" s="1">
        <f>IF(ISNUMBER(Table1[[#This Row],[Chip Core Area / Element (mm2)]]),SQRT(Table1[[#This Row],[Chip Core Area / Element (mm2)]]),#N/A)</f>
        <v>1.944222209522358</v>
      </c>
      <c r="D119" s="1" t="e">
        <f>IF(OR(Table1[[#This Row],[Type (TX, RX, TRX, Oscillator)]]="TX", Table1[[#This Row],[Type (TX, RX, TRX, Oscillator)]]="TX FE"),C119,#N/A)</f>
        <v>#N/A</v>
      </c>
      <c r="E119" s="1">
        <f>IF(OR(Table1[[#This Row],[Type (TX, RX, TRX, Oscillator)]]="RX", Table1[[#This Row],[Type (TX, RX, TRX, Oscillator)]]="RX FE"),C119,#N/A)</f>
        <v>1.944222209522358</v>
      </c>
      <c r="F119" s="1" t="e">
        <f>IF(OR(Table1[[#This Row],[Type (TX, RX, TRX, Oscillator)]]="TRX", Table1[[#This Row],[Type (TX, RX, TRX, Oscillator)]]="TRX FE"),C119,#N/A)</f>
        <v>#N/A</v>
      </c>
      <c r="G119" s="1" t="e">
        <f>IF(Table1[[#This Row],[Type (TX, RX, TRX, Oscillator)]]="Oscillator",C119,#N/A)</f>
        <v>#N/A</v>
      </c>
      <c r="H119" s="1" t="e">
        <f>IF(Table1[[#This Row],[Type (TX, RX, TRX, Oscillator)]]="Relay",C119,#N/A)</f>
        <v>#N/A</v>
      </c>
      <c r="I119" s="1" t="e">
        <f>IF(ISNUMBER(Table1[[#This Row],[Array Aperture Area / Element (mm2)]]),SQRT(Table1[[#This Row],[Array Aperture Area / Element (mm2)]]),#N/A)</f>
        <v>#N/A</v>
      </c>
      <c r="J119" s="1" t="e">
        <f>IF(OR(Table1[[#This Row],[Type (TX, RX, TRX, Oscillator)]]="TX",Table1[[#This Row],[Type (TX, RX, TRX, Oscillator)]]="TX FE"),I119,#N/A)</f>
        <v>#N/A</v>
      </c>
      <c r="K119" s="1" t="e">
        <f>IF(OR(Table1[[#This Row],[Type (TX, RX, TRX, Oscillator)]]="RX",Table1[[#This Row],[Type (TX, RX, TRX, Oscillator)]]="RX FE"),I119,#N/A)</f>
        <v>#N/A</v>
      </c>
      <c r="L119" s="1" t="e">
        <f>IF(OR(Table1[[#This Row],[Type (TX, RX, TRX, Oscillator)]]="TRX", Table1[[#This Row],[Type (TX, RX, TRX, Oscillator)]]="TRX FE"),I119,#N/A)</f>
        <v>#N/A</v>
      </c>
      <c r="M119" s="1" t="e">
        <f>IF(Table1[[#This Row],[Type (TX, RX, TRX, Oscillator)]]="Oscillator",I119,#N/A)</f>
        <v>#N/A</v>
      </c>
      <c r="N119" s="1" t="e">
        <f>IF(Table1[[#This Row],[Type (TX, RX, TRX, Oscillator)]]="Relay",I119,#N/A)</f>
        <v>#N/A</v>
      </c>
    </row>
    <row r="120" spans="1:14" x14ac:dyDescent="0.2">
      <c r="A120" s="1">
        <f>Table1[[#This Row],[Frequency (GHz)]]</f>
        <v>47.2</v>
      </c>
      <c r="B120" s="1">
        <f t="shared" si="1"/>
        <v>3.1779661016949157</v>
      </c>
      <c r="C120" s="1">
        <f>IF(ISNUMBER(Table1[[#This Row],[Chip Core Area / Element (mm2)]]),SQRT(Table1[[#This Row],[Chip Core Area / Element (mm2)]]),#N/A)</f>
        <v>1.944222209522358</v>
      </c>
      <c r="D120" s="1" t="e">
        <f>IF(OR(Table1[[#This Row],[Type (TX, RX, TRX, Oscillator)]]="TX", Table1[[#This Row],[Type (TX, RX, TRX, Oscillator)]]="TX FE"),C120,#N/A)</f>
        <v>#N/A</v>
      </c>
      <c r="E120" s="1">
        <f>IF(OR(Table1[[#This Row],[Type (TX, RX, TRX, Oscillator)]]="RX", Table1[[#This Row],[Type (TX, RX, TRX, Oscillator)]]="RX FE"),C120,#N/A)</f>
        <v>1.944222209522358</v>
      </c>
      <c r="F120" s="1" t="e">
        <f>IF(OR(Table1[[#This Row],[Type (TX, RX, TRX, Oscillator)]]="TRX", Table1[[#This Row],[Type (TX, RX, TRX, Oscillator)]]="TRX FE"),C120,#N/A)</f>
        <v>#N/A</v>
      </c>
      <c r="G120" s="1" t="e">
        <f>IF(Table1[[#This Row],[Type (TX, RX, TRX, Oscillator)]]="Oscillator",C120,#N/A)</f>
        <v>#N/A</v>
      </c>
      <c r="H120" s="1" t="e">
        <f>IF(Table1[[#This Row],[Type (TX, RX, TRX, Oscillator)]]="Relay",C120,#N/A)</f>
        <v>#N/A</v>
      </c>
      <c r="I120" s="1" t="e">
        <f>IF(ISNUMBER(Table1[[#This Row],[Array Aperture Area / Element (mm2)]]),SQRT(Table1[[#This Row],[Array Aperture Area / Element (mm2)]]),#N/A)</f>
        <v>#N/A</v>
      </c>
      <c r="J120" s="1" t="e">
        <f>IF(OR(Table1[[#This Row],[Type (TX, RX, TRX, Oscillator)]]="TX",Table1[[#This Row],[Type (TX, RX, TRX, Oscillator)]]="TX FE"),I120,#N/A)</f>
        <v>#N/A</v>
      </c>
      <c r="K120" s="1" t="e">
        <f>IF(OR(Table1[[#This Row],[Type (TX, RX, TRX, Oscillator)]]="RX",Table1[[#This Row],[Type (TX, RX, TRX, Oscillator)]]="RX FE"),I120,#N/A)</f>
        <v>#N/A</v>
      </c>
      <c r="L120" s="1" t="e">
        <f>IF(OR(Table1[[#This Row],[Type (TX, RX, TRX, Oscillator)]]="TRX", Table1[[#This Row],[Type (TX, RX, TRX, Oscillator)]]="TRX FE"),I120,#N/A)</f>
        <v>#N/A</v>
      </c>
      <c r="M120" s="1" t="e">
        <f>IF(Table1[[#This Row],[Type (TX, RX, TRX, Oscillator)]]="Oscillator",I120,#N/A)</f>
        <v>#N/A</v>
      </c>
      <c r="N120" s="1" t="e">
        <f>IF(Table1[[#This Row],[Type (TX, RX, TRX, Oscillator)]]="Relay",I120,#N/A)</f>
        <v>#N/A</v>
      </c>
    </row>
    <row r="121" spans="1:14" x14ac:dyDescent="0.2">
      <c r="A121" s="1">
        <f>Table1[[#This Row],[Frequency (GHz)]]</f>
        <v>60.1</v>
      </c>
      <c r="B121" s="1">
        <f t="shared" si="1"/>
        <v>2.4958402662229617</v>
      </c>
      <c r="C121" s="1">
        <f>IF(ISNUMBER(Table1[[#This Row],[Chip Core Area / Element (mm2)]]),SQRT(Table1[[#This Row],[Chip Core Area / Element (mm2)]]),#N/A)</f>
        <v>1.944222209522358</v>
      </c>
      <c r="D121" s="1" t="e">
        <f>IF(OR(Table1[[#This Row],[Type (TX, RX, TRX, Oscillator)]]="TX", Table1[[#This Row],[Type (TX, RX, TRX, Oscillator)]]="TX FE"),C121,#N/A)</f>
        <v>#N/A</v>
      </c>
      <c r="E121" s="1">
        <f>IF(OR(Table1[[#This Row],[Type (TX, RX, TRX, Oscillator)]]="RX", Table1[[#This Row],[Type (TX, RX, TRX, Oscillator)]]="RX FE"),C121,#N/A)</f>
        <v>1.944222209522358</v>
      </c>
      <c r="F121" s="1" t="e">
        <f>IF(OR(Table1[[#This Row],[Type (TX, RX, TRX, Oscillator)]]="TRX", Table1[[#This Row],[Type (TX, RX, TRX, Oscillator)]]="TRX FE"),C121,#N/A)</f>
        <v>#N/A</v>
      </c>
      <c r="G121" s="1" t="e">
        <f>IF(Table1[[#This Row],[Type (TX, RX, TRX, Oscillator)]]="Oscillator",C121,#N/A)</f>
        <v>#N/A</v>
      </c>
      <c r="H121" s="1" t="e">
        <f>IF(Table1[[#This Row],[Type (TX, RX, TRX, Oscillator)]]="Relay",C121,#N/A)</f>
        <v>#N/A</v>
      </c>
      <c r="I121" s="1" t="e">
        <f>IF(ISNUMBER(Table1[[#This Row],[Array Aperture Area / Element (mm2)]]),SQRT(Table1[[#This Row],[Array Aperture Area / Element (mm2)]]),#N/A)</f>
        <v>#N/A</v>
      </c>
      <c r="J121" s="1" t="e">
        <f>IF(OR(Table1[[#This Row],[Type (TX, RX, TRX, Oscillator)]]="TX",Table1[[#This Row],[Type (TX, RX, TRX, Oscillator)]]="TX FE"),I121,#N/A)</f>
        <v>#N/A</v>
      </c>
      <c r="K121" s="1" t="e">
        <f>IF(OR(Table1[[#This Row],[Type (TX, RX, TRX, Oscillator)]]="RX",Table1[[#This Row],[Type (TX, RX, TRX, Oscillator)]]="RX FE"),I121,#N/A)</f>
        <v>#N/A</v>
      </c>
      <c r="L121" s="1" t="e">
        <f>IF(OR(Table1[[#This Row],[Type (TX, RX, TRX, Oscillator)]]="TRX", Table1[[#This Row],[Type (TX, RX, TRX, Oscillator)]]="TRX FE"),I121,#N/A)</f>
        <v>#N/A</v>
      </c>
      <c r="M121" s="1" t="e">
        <f>IF(Table1[[#This Row],[Type (TX, RX, TRX, Oscillator)]]="Oscillator",I121,#N/A)</f>
        <v>#N/A</v>
      </c>
      <c r="N121" s="1" t="e">
        <f>IF(Table1[[#This Row],[Type (TX, RX, TRX, Oscillator)]]="Relay",I121,#N/A)</f>
        <v>#N/A</v>
      </c>
    </row>
    <row r="122" spans="1:14" x14ac:dyDescent="0.2">
      <c r="A122" s="1">
        <f>Table1[[#This Row],[Frequency (GHz)]]</f>
        <v>28</v>
      </c>
      <c r="B122" s="1">
        <f t="shared" si="1"/>
        <v>5.3571428571428568</v>
      </c>
      <c r="C122" s="1">
        <f>IF(ISNUMBER(Table1[[#This Row],[Chip Core Area / Element (mm2)]]),SQRT(Table1[[#This Row],[Chip Core Area / Element (mm2)]]),#N/A)</f>
        <v>0.92466210044534647</v>
      </c>
      <c r="D122" s="1" t="e">
        <f>IF(OR(Table1[[#This Row],[Type (TX, RX, TRX, Oscillator)]]="TX", Table1[[#This Row],[Type (TX, RX, TRX, Oscillator)]]="TX FE"),C122,#N/A)</f>
        <v>#N/A</v>
      </c>
      <c r="E122" s="1">
        <f>IF(OR(Table1[[#This Row],[Type (TX, RX, TRX, Oscillator)]]="RX", Table1[[#This Row],[Type (TX, RX, TRX, Oscillator)]]="RX FE"),C122,#N/A)</f>
        <v>0.92466210044534647</v>
      </c>
      <c r="F122" s="1" t="e">
        <f>IF(OR(Table1[[#This Row],[Type (TX, RX, TRX, Oscillator)]]="TRX", Table1[[#This Row],[Type (TX, RX, TRX, Oscillator)]]="TRX FE"),C122,#N/A)</f>
        <v>#N/A</v>
      </c>
      <c r="G122" s="1" t="e">
        <f>IF(Table1[[#This Row],[Type (TX, RX, TRX, Oscillator)]]="Oscillator",C122,#N/A)</f>
        <v>#N/A</v>
      </c>
      <c r="H122" s="1" t="e">
        <f>IF(Table1[[#This Row],[Type (TX, RX, TRX, Oscillator)]]="Relay",C122,#N/A)</f>
        <v>#N/A</v>
      </c>
      <c r="I122" s="1" t="e">
        <f>IF(ISNUMBER(Table1[[#This Row],[Array Aperture Area / Element (mm2)]]),SQRT(Table1[[#This Row],[Array Aperture Area / Element (mm2)]]),#N/A)</f>
        <v>#N/A</v>
      </c>
      <c r="J122" s="1" t="e">
        <f>IF(OR(Table1[[#This Row],[Type (TX, RX, TRX, Oscillator)]]="TX",Table1[[#This Row],[Type (TX, RX, TRX, Oscillator)]]="TX FE"),I122,#N/A)</f>
        <v>#N/A</v>
      </c>
      <c r="K122" s="1" t="e">
        <f>IF(OR(Table1[[#This Row],[Type (TX, RX, TRX, Oscillator)]]="RX",Table1[[#This Row],[Type (TX, RX, TRX, Oscillator)]]="RX FE"),I122,#N/A)</f>
        <v>#N/A</v>
      </c>
      <c r="L122" s="1" t="e">
        <f>IF(OR(Table1[[#This Row],[Type (TX, RX, TRX, Oscillator)]]="TRX", Table1[[#This Row],[Type (TX, RX, TRX, Oscillator)]]="TRX FE"),I122,#N/A)</f>
        <v>#N/A</v>
      </c>
      <c r="M122" s="1" t="e">
        <f>IF(Table1[[#This Row],[Type (TX, RX, TRX, Oscillator)]]="Oscillator",I122,#N/A)</f>
        <v>#N/A</v>
      </c>
      <c r="N122" s="1" t="e">
        <f>IF(Table1[[#This Row],[Type (TX, RX, TRX, Oscillator)]]="Relay",I122,#N/A)</f>
        <v>#N/A</v>
      </c>
    </row>
    <row r="123" spans="1:14" x14ac:dyDescent="0.2">
      <c r="A123" s="1">
        <f>Table1[[#This Row],[Frequency (GHz)]]</f>
        <v>40</v>
      </c>
      <c r="B123" s="1">
        <f t="shared" si="1"/>
        <v>3.75</v>
      </c>
      <c r="C123" s="1">
        <f>IF(ISNUMBER(Table1[[#This Row],[Chip Core Area / Element (mm2)]]),SQRT(Table1[[#This Row],[Chip Core Area / Element (mm2)]]),#N/A)</f>
        <v>0.92466210044534647</v>
      </c>
      <c r="D123" s="1" t="e">
        <f>IF(OR(Table1[[#This Row],[Type (TX, RX, TRX, Oscillator)]]="TX", Table1[[#This Row],[Type (TX, RX, TRX, Oscillator)]]="TX FE"),C123,#N/A)</f>
        <v>#N/A</v>
      </c>
      <c r="E123" s="1">
        <f>IF(OR(Table1[[#This Row],[Type (TX, RX, TRX, Oscillator)]]="RX", Table1[[#This Row],[Type (TX, RX, TRX, Oscillator)]]="RX FE"),C123,#N/A)</f>
        <v>0.92466210044534647</v>
      </c>
      <c r="F123" s="1" t="e">
        <f>IF(OR(Table1[[#This Row],[Type (TX, RX, TRX, Oscillator)]]="TRX", Table1[[#This Row],[Type (TX, RX, TRX, Oscillator)]]="TRX FE"),C123,#N/A)</f>
        <v>#N/A</v>
      </c>
      <c r="G123" s="1" t="e">
        <f>IF(Table1[[#This Row],[Type (TX, RX, TRX, Oscillator)]]="Oscillator",C123,#N/A)</f>
        <v>#N/A</v>
      </c>
      <c r="H123" s="1" t="e">
        <f>IF(Table1[[#This Row],[Type (TX, RX, TRX, Oscillator)]]="Relay",C123,#N/A)</f>
        <v>#N/A</v>
      </c>
      <c r="I123" s="1" t="e">
        <f>IF(ISNUMBER(Table1[[#This Row],[Array Aperture Area / Element (mm2)]]),SQRT(Table1[[#This Row],[Array Aperture Area / Element (mm2)]]),#N/A)</f>
        <v>#N/A</v>
      </c>
      <c r="J123" s="1" t="e">
        <f>IF(OR(Table1[[#This Row],[Type (TX, RX, TRX, Oscillator)]]="TX",Table1[[#This Row],[Type (TX, RX, TRX, Oscillator)]]="TX FE"),I123,#N/A)</f>
        <v>#N/A</v>
      </c>
      <c r="K123" s="1" t="e">
        <f>IF(OR(Table1[[#This Row],[Type (TX, RX, TRX, Oscillator)]]="RX",Table1[[#This Row],[Type (TX, RX, TRX, Oscillator)]]="RX FE"),I123,#N/A)</f>
        <v>#N/A</v>
      </c>
      <c r="L123" s="1" t="e">
        <f>IF(OR(Table1[[#This Row],[Type (TX, RX, TRX, Oscillator)]]="TRX", Table1[[#This Row],[Type (TX, RX, TRX, Oscillator)]]="TRX FE"),I123,#N/A)</f>
        <v>#N/A</v>
      </c>
      <c r="M123" s="1" t="e">
        <f>IF(Table1[[#This Row],[Type (TX, RX, TRX, Oscillator)]]="Oscillator",I123,#N/A)</f>
        <v>#N/A</v>
      </c>
      <c r="N123" s="1" t="e">
        <f>IF(Table1[[#This Row],[Type (TX, RX, TRX, Oscillator)]]="Relay",I123,#N/A)</f>
        <v>#N/A</v>
      </c>
    </row>
    <row r="124" spans="1:14" x14ac:dyDescent="0.2">
      <c r="A124" s="1">
        <f>Table1[[#This Row],[Frequency (GHz)]]</f>
        <v>28</v>
      </c>
      <c r="B124" s="1">
        <f t="shared" si="1"/>
        <v>5.3571428571428568</v>
      </c>
      <c r="C124" s="1">
        <f>IF(ISNUMBER(Table1[[#This Row],[Chip Core Area / Element (mm2)]]),SQRT(Table1[[#This Row],[Chip Core Area / Element (mm2)]]),#N/A)</f>
        <v>1.0822545911198529</v>
      </c>
      <c r="D124" s="1" t="e">
        <f>IF(OR(Table1[[#This Row],[Type (TX, RX, TRX, Oscillator)]]="TX", Table1[[#This Row],[Type (TX, RX, TRX, Oscillator)]]="TX FE"),C124,#N/A)</f>
        <v>#N/A</v>
      </c>
      <c r="E124" s="1" t="e">
        <f>IF(OR(Table1[[#This Row],[Type (TX, RX, TRX, Oscillator)]]="RX", Table1[[#This Row],[Type (TX, RX, TRX, Oscillator)]]="RX FE"),C124,#N/A)</f>
        <v>#N/A</v>
      </c>
      <c r="F124" s="1">
        <f>IF(OR(Table1[[#This Row],[Type (TX, RX, TRX, Oscillator)]]="TRX", Table1[[#This Row],[Type (TX, RX, TRX, Oscillator)]]="TRX FE"),C124,#N/A)</f>
        <v>1.0822545911198529</v>
      </c>
      <c r="G124" s="1" t="e">
        <f>IF(Table1[[#This Row],[Type (TX, RX, TRX, Oscillator)]]="Oscillator",C124,#N/A)</f>
        <v>#N/A</v>
      </c>
      <c r="H124" s="1" t="e">
        <f>IF(Table1[[#This Row],[Type (TX, RX, TRX, Oscillator)]]="Relay",C124,#N/A)</f>
        <v>#N/A</v>
      </c>
      <c r="I124" s="1" t="e">
        <f>IF(ISNUMBER(Table1[[#This Row],[Array Aperture Area / Element (mm2)]]),SQRT(Table1[[#This Row],[Array Aperture Area / Element (mm2)]]),#N/A)</f>
        <v>#N/A</v>
      </c>
      <c r="J124" s="1" t="e">
        <f>IF(OR(Table1[[#This Row],[Type (TX, RX, TRX, Oscillator)]]="TX",Table1[[#This Row],[Type (TX, RX, TRX, Oscillator)]]="TX FE"),I124,#N/A)</f>
        <v>#N/A</v>
      </c>
      <c r="K124" s="1" t="e">
        <f>IF(OR(Table1[[#This Row],[Type (TX, RX, TRX, Oscillator)]]="RX",Table1[[#This Row],[Type (TX, RX, TRX, Oscillator)]]="RX FE"),I124,#N/A)</f>
        <v>#N/A</v>
      </c>
      <c r="L124" s="1" t="e">
        <f>IF(OR(Table1[[#This Row],[Type (TX, RX, TRX, Oscillator)]]="TRX", Table1[[#This Row],[Type (TX, RX, TRX, Oscillator)]]="TRX FE"),I124,#N/A)</f>
        <v>#N/A</v>
      </c>
      <c r="M124" s="1" t="e">
        <f>IF(Table1[[#This Row],[Type (TX, RX, TRX, Oscillator)]]="Oscillator",I124,#N/A)</f>
        <v>#N/A</v>
      </c>
      <c r="N124" s="1" t="e">
        <f>IF(Table1[[#This Row],[Type (TX, RX, TRX, Oscillator)]]="Relay",I124,#N/A)</f>
        <v>#N/A</v>
      </c>
    </row>
    <row r="125" spans="1:14" x14ac:dyDescent="0.2">
      <c r="A125" s="1">
        <f>Table1[[#This Row],[Frequency (GHz)]]</f>
        <v>20</v>
      </c>
      <c r="B125" s="1">
        <f t="shared" si="1"/>
        <v>7.5</v>
      </c>
      <c r="C125" s="1">
        <f>IF(ISNUMBER(Table1[[#This Row],[Chip Core Area / Element (mm2)]]),SQRT(Table1[[#This Row],[Chip Core Area / Element (mm2)]]),#N/A)</f>
        <v>2.9300170647967221</v>
      </c>
      <c r="D125" s="1" t="e">
        <f>IF(OR(Table1[[#This Row],[Type (TX, RX, TRX, Oscillator)]]="TX", Table1[[#This Row],[Type (TX, RX, TRX, Oscillator)]]="TX FE"),C125,#N/A)</f>
        <v>#N/A</v>
      </c>
      <c r="E125" s="1">
        <f>IF(OR(Table1[[#This Row],[Type (TX, RX, TRX, Oscillator)]]="RX", Table1[[#This Row],[Type (TX, RX, TRX, Oscillator)]]="RX FE"),C125,#N/A)</f>
        <v>2.9300170647967221</v>
      </c>
      <c r="F125" s="1" t="e">
        <f>IF(OR(Table1[[#This Row],[Type (TX, RX, TRX, Oscillator)]]="TRX", Table1[[#This Row],[Type (TX, RX, TRX, Oscillator)]]="TRX FE"),C125,#N/A)</f>
        <v>#N/A</v>
      </c>
      <c r="G125" s="1" t="e">
        <f>IF(Table1[[#This Row],[Type (TX, RX, TRX, Oscillator)]]="Oscillator",C125,#N/A)</f>
        <v>#N/A</v>
      </c>
      <c r="H125" s="1" t="e">
        <f>IF(Table1[[#This Row],[Type (TX, RX, TRX, Oscillator)]]="Relay",C125,#N/A)</f>
        <v>#N/A</v>
      </c>
      <c r="I125" s="1">
        <f>IF(ISNUMBER(Table1[[#This Row],[Array Aperture Area / Element (mm2)]]),SQRT(Table1[[#This Row],[Array Aperture Area / Element (mm2)]]),#N/A)</f>
        <v>0.81009258730098255</v>
      </c>
      <c r="J125" s="1" t="e">
        <f>IF(OR(Table1[[#This Row],[Type (TX, RX, TRX, Oscillator)]]="TX",Table1[[#This Row],[Type (TX, RX, TRX, Oscillator)]]="TX FE"),I125,#N/A)</f>
        <v>#N/A</v>
      </c>
      <c r="K125" s="1">
        <f>IF(OR(Table1[[#This Row],[Type (TX, RX, TRX, Oscillator)]]="RX",Table1[[#This Row],[Type (TX, RX, TRX, Oscillator)]]="RX FE"),I125,#N/A)</f>
        <v>0.81009258730098255</v>
      </c>
      <c r="L125" s="1" t="e">
        <f>IF(OR(Table1[[#This Row],[Type (TX, RX, TRX, Oscillator)]]="TRX", Table1[[#This Row],[Type (TX, RX, TRX, Oscillator)]]="TRX FE"),I125,#N/A)</f>
        <v>#N/A</v>
      </c>
      <c r="M125" s="1" t="e">
        <f>IF(Table1[[#This Row],[Type (TX, RX, TRX, Oscillator)]]="Oscillator",I125,#N/A)</f>
        <v>#N/A</v>
      </c>
      <c r="N125" s="1" t="e">
        <f>IF(Table1[[#This Row],[Type (TX, RX, TRX, Oscillator)]]="Relay",I125,#N/A)</f>
        <v>#N/A</v>
      </c>
    </row>
    <row r="126" spans="1:14" x14ac:dyDescent="0.2">
      <c r="A126" s="1">
        <f>Table1[[#This Row],[Frequency (GHz)]]</f>
        <v>5</v>
      </c>
      <c r="B126" s="1">
        <f t="shared" si="1"/>
        <v>30</v>
      </c>
      <c r="C126" s="1">
        <f>IF(ISNUMBER(Table1[[#This Row],[Chip Core Area / Element (mm2)]]),SQRT(Table1[[#This Row],[Chip Core Area / Element (mm2)]]),#N/A)</f>
        <v>1.8899735447883919</v>
      </c>
      <c r="D126" s="1">
        <f>IF(OR(Table1[[#This Row],[Type (TX, RX, TRX, Oscillator)]]="TX", Table1[[#This Row],[Type (TX, RX, TRX, Oscillator)]]="TX FE"),C126,#N/A)</f>
        <v>1.8899735447883919</v>
      </c>
      <c r="E126" s="1" t="e">
        <f>IF(OR(Table1[[#This Row],[Type (TX, RX, TRX, Oscillator)]]="RX", Table1[[#This Row],[Type (TX, RX, TRX, Oscillator)]]="RX FE"),C126,#N/A)</f>
        <v>#N/A</v>
      </c>
      <c r="F126" s="1" t="e">
        <f>IF(OR(Table1[[#This Row],[Type (TX, RX, TRX, Oscillator)]]="TRX", Table1[[#This Row],[Type (TX, RX, TRX, Oscillator)]]="TRX FE"),C126,#N/A)</f>
        <v>#N/A</v>
      </c>
      <c r="G126" s="1" t="e">
        <f>IF(Table1[[#This Row],[Type (TX, RX, TRX, Oscillator)]]="Oscillator",C126,#N/A)</f>
        <v>#N/A</v>
      </c>
      <c r="H126" s="1" t="e">
        <f>IF(Table1[[#This Row],[Type (TX, RX, TRX, Oscillator)]]="Relay",C126,#N/A)</f>
        <v>#N/A</v>
      </c>
      <c r="I126" s="1">
        <f>IF(ISNUMBER(Table1[[#This Row],[Array Aperture Area / Element (mm2)]]),SQRT(Table1[[#This Row],[Array Aperture Area / Element (mm2)]]),#N/A)</f>
        <v>9.2978492136622641</v>
      </c>
      <c r="J126" s="1">
        <f>IF(OR(Table1[[#This Row],[Type (TX, RX, TRX, Oscillator)]]="TX",Table1[[#This Row],[Type (TX, RX, TRX, Oscillator)]]="TX FE"),I126,#N/A)</f>
        <v>9.2978492136622641</v>
      </c>
      <c r="K126" s="1" t="e">
        <f>IF(OR(Table1[[#This Row],[Type (TX, RX, TRX, Oscillator)]]="RX",Table1[[#This Row],[Type (TX, RX, TRX, Oscillator)]]="RX FE"),I126,#N/A)</f>
        <v>#N/A</v>
      </c>
      <c r="L126" s="1" t="e">
        <f>IF(OR(Table1[[#This Row],[Type (TX, RX, TRX, Oscillator)]]="TRX", Table1[[#This Row],[Type (TX, RX, TRX, Oscillator)]]="TRX FE"),I126,#N/A)</f>
        <v>#N/A</v>
      </c>
      <c r="M126" s="1" t="e">
        <f>IF(Table1[[#This Row],[Type (TX, RX, TRX, Oscillator)]]="Oscillator",I126,#N/A)</f>
        <v>#N/A</v>
      </c>
      <c r="N126" s="1" t="e">
        <f>IF(Table1[[#This Row],[Type (TX, RX, TRX, Oscillator)]]="Relay",I126,#N/A)</f>
        <v>#N/A</v>
      </c>
    </row>
    <row r="127" spans="1:14" x14ac:dyDescent="0.2">
      <c r="A127" s="1">
        <f>Table1[[#This Row],[Frequency (GHz)]]</f>
        <v>33</v>
      </c>
      <c r="B127" s="1">
        <f t="shared" si="1"/>
        <v>4.545454545454545</v>
      </c>
      <c r="C127" s="1">
        <f>IF(ISNUMBER(Table1[[#This Row],[Chip Core Area / Element (mm2)]]),SQRT(Table1[[#This Row],[Chip Core Area / Element (mm2)]]),#N/A)</f>
        <v>1.8899735447883919</v>
      </c>
      <c r="D127" s="1">
        <f>IF(OR(Table1[[#This Row],[Type (TX, RX, TRX, Oscillator)]]="TX", Table1[[#This Row],[Type (TX, RX, TRX, Oscillator)]]="TX FE"),C127,#N/A)</f>
        <v>1.8899735447883919</v>
      </c>
      <c r="E127" s="1" t="e">
        <f>IF(OR(Table1[[#This Row],[Type (TX, RX, TRX, Oscillator)]]="RX", Table1[[#This Row],[Type (TX, RX, TRX, Oscillator)]]="RX FE"),C127,#N/A)</f>
        <v>#N/A</v>
      </c>
      <c r="F127" s="1" t="e">
        <f>IF(OR(Table1[[#This Row],[Type (TX, RX, TRX, Oscillator)]]="TRX", Table1[[#This Row],[Type (TX, RX, TRX, Oscillator)]]="TRX FE"),C127,#N/A)</f>
        <v>#N/A</v>
      </c>
      <c r="G127" s="1" t="e">
        <f>IF(Table1[[#This Row],[Type (TX, RX, TRX, Oscillator)]]="Oscillator",C127,#N/A)</f>
        <v>#N/A</v>
      </c>
      <c r="H127" s="1" t="e">
        <f>IF(Table1[[#This Row],[Type (TX, RX, TRX, Oscillator)]]="Relay",C127,#N/A)</f>
        <v>#N/A</v>
      </c>
      <c r="I127" s="1">
        <f>IF(ISNUMBER(Table1[[#This Row],[Array Aperture Area / Element (mm2)]]),SQRT(Table1[[#This Row],[Array Aperture Area / Element (mm2)]]),#N/A)</f>
        <v>9.2978492136622641</v>
      </c>
      <c r="J127" s="1">
        <f>IF(OR(Table1[[#This Row],[Type (TX, RX, TRX, Oscillator)]]="TX",Table1[[#This Row],[Type (TX, RX, TRX, Oscillator)]]="TX FE"),I127,#N/A)</f>
        <v>9.2978492136622641</v>
      </c>
      <c r="K127" s="1" t="e">
        <f>IF(OR(Table1[[#This Row],[Type (TX, RX, TRX, Oscillator)]]="RX",Table1[[#This Row],[Type (TX, RX, TRX, Oscillator)]]="RX FE"),I127,#N/A)</f>
        <v>#N/A</v>
      </c>
      <c r="L127" s="1" t="e">
        <f>IF(OR(Table1[[#This Row],[Type (TX, RX, TRX, Oscillator)]]="TRX", Table1[[#This Row],[Type (TX, RX, TRX, Oscillator)]]="TRX FE"),I127,#N/A)</f>
        <v>#N/A</v>
      </c>
      <c r="M127" s="1" t="e">
        <f>IF(Table1[[#This Row],[Type (TX, RX, TRX, Oscillator)]]="Oscillator",I127,#N/A)</f>
        <v>#N/A</v>
      </c>
      <c r="N127" s="1" t="e">
        <f>IF(Table1[[#This Row],[Type (TX, RX, TRX, Oscillator)]]="Relay",I127,#N/A)</f>
        <v>#N/A</v>
      </c>
    </row>
    <row r="128" spans="1:14" x14ac:dyDescent="0.2">
      <c r="A128" s="1">
        <f>Table1[[#This Row],[Frequency (GHz)]]</f>
        <v>39</v>
      </c>
      <c r="B128" s="1">
        <f t="shared" si="1"/>
        <v>3.8461538461538463</v>
      </c>
      <c r="C128" s="1">
        <f>IF(ISNUMBER(Table1[[#This Row],[Chip Core Area / Element (mm2)]]),SQRT(Table1[[#This Row],[Chip Core Area / Element (mm2)]]),#N/A)</f>
        <v>2.16794833886788</v>
      </c>
      <c r="D128" s="1" t="e">
        <f>IF(OR(Table1[[#This Row],[Type (TX, RX, TRX, Oscillator)]]="TX", Table1[[#This Row],[Type (TX, RX, TRX, Oscillator)]]="TX FE"),C128,#N/A)</f>
        <v>#N/A</v>
      </c>
      <c r="E128" s="1" t="e">
        <f>IF(OR(Table1[[#This Row],[Type (TX, RX, TRX, Oscillator)]]="RX", Table1[[#This Row],[Type (TX, RX, TRX, Oscillator)]]="RX FE"),C128,#N/A)</f>
        <v>#N/A</v>
      </c>
      <c r="F128" s="1">
        <f>IF(OR(Table1[[#This Row],[Type (TX, RX, TRX, Oscillator)]]="TRX", Table1[[#This Row],[Type (TX, RX, TRX, Oscillator)]]="TRX FE"),C128,#N/A)</f>
        <v>2.16794833886788</v>
      </c>
      <c r="G128" s="1" t="e">
        <f>IF(Table1[[#This Row],[Type (TX, RX, TRX, Oscillator)]]="Oscillator",C128,#N/A)</f>
        <v>#N/A</v>
      </c>
      <c r="H128" s="1" t="e">
        <f>IF(Table1[[#This Row],[Type (TX, RX, TRX, Oscillator)]]="Relay",C128,#N/A)</f>
        <v>#N/A</v>
      </c>
      <c r="I128" s="1" t="e">
        <f>IF(ISNUMBER(Table1[[#This Row],[Array Aperture Area / Element (mm2)]]),SQRT(Table1[[#This Row],[Array Aperture Area / Element (mm2)]]),#N/A)</f>
        <v>#N/A</v>
      </c>
      <c r="J128" s="1" t="e">
        <f>IF(OR(Table1[[#This Row],[Type (TX, RX, TRX, Oscillator)]]="TX",Table1[[#This Row],[Type (TX, RX, TRX, Oscillator)]]="TX FE"),I128,#N/A)</f>
        <v>#N/A</v>
      </c>
      <c r="K128" s="1" t="e">
        <f>IF(OR(Table1[[#This Row],[Type (TX, RX, TRX, Oscillator)]]="RX",Table1[[#This Row],[Type (TX, RX, TRX, Oscillator)]]="RX FE"),I128,#N/A)</f>
        <v>#N/A</v>
      </c>
      <c r="L128" s="1" t="e">
        <f>IF(OR(Table1[[#This Row],[Type (TX, RX, TRX, Oscillator)]]="TRX", Table1[[#This Row],[Type (TX, RX, TRX, Oscillator)]]="TRX FE"),I128,#N/A)</f>
        <v>#N/A</v>
      </c>
      <c r="M128" s="1" t="e">
        <f>IF(Table1[[#This Row],[Type (TX, RX, TRX, Oscillator)]]="Oscillator",I128,#N/A)</f>
        <v>#N/A</v>
      </c>
      <c r="N128" s="1" t="e">
        <f>IF(Table1[[#This Row],[Type (TX, RX, TRX, Oscillator)]]="Relay",I128,#N/A)</f>
        <v>#N/A</v>
      </c>
    </row>
    <row r="129" spans="1:14" x14ac:dyDescent="0.2">
      <c r="A129" s="1">
        <f>Table1[[#This Row],[Frequency (GHz)]]</f>
        <v>141</v>
      </c>
      <c r="B129" s="1">
        <f t="shared" si="1"/>
        <v>1.0638297872340425</v>
      </c>
      <c r="C129" s="1">
        <f>IF(ISNUMBER(Table1[[#This Row],[Chip Core Area / Element (mm2)]]),SQRT(Table1[[#This Row],[Chip Core Area / Element (mm2)]]),#N/A)</f>
        <v>2.4313576454318686</v>
      </c>
      <c r="D129" s="1" t="e">
        <f>IF(OR(Table1[[#This Row],[Type (TX, RX, TRX, Oscillator)]]="TX", Table1[[#This Row],[Type (TX, RX, TRX, Oscillator)]]="TX FE"),C129,#N/A)</f>
        <v>#N/A</v>
      </c>
      <c r="E129" s="1" t="e">
        <f>IF(OR(Table1[[#This Row],[Type (TX, RX, TRX, Oscillator)]]="RX", Table1[[#This Row],[Type (TX, RX, TRX, Oscillator)]]="RX FE"),C129,#N/A)</f>
        <v>#N/A</v>
      </c>
      <c r="F129" s="1">
        <f>IF(OR(Table1[[#This Row],[Type (TX, RX, TRX, Oscillator)]]="TRX", Table1[[#This Row],[Type (TX, RX, TRX, Oscillator)]]="TRX FE"),C129,#N/A)</f>
        <v>2.4313576454318686</v>
      </c>
      <c r="G129" s="1" t="e">
        <f>IF(Table1[[#This Row],[Type (TX, RX, TRX, Oscillator)]]="Oscillator",C129,#N/A)</f>
        <v>#N/A</v>
      </c>
      <c r="H129" s="1" t="e">
        <f>IF(Table1[[#This Row],[Type (TX, RX, TRX, Oscillator)]]="Relay",C129,#N/A)</f>
        <v>#N/A</v>
      </c>
      <c r="I129" s="1">
        <f>IF(ISNUMBER(Table1[[#This Row],[Array Aperture Area / Element (mm2)]]),SQRT(Table1[[#This Row],[Array Aperture Area / Element (mm2)]]),#N/A)</f>
        <v>2.4248711305964283</v>
      </c>
      <c r="J129" s="1" t="e">
        <f>IF(OR(Table1[[#This Row],[Type (TX, RX, TRX, Oscillator)]]="TX",Table1[[#This Row],[Type (TX, RX, TRX, Oscillator)]]="TX FE"),I129,#N/A)</f>
        <v>#N/A</v>
      </c>
      <c r="K129" s="1" t="e">
        <f>IF(OR(Table1[[#This Row],[Type (TX, RX, TRX, Oscillator)]]="RX",Table1[[#This Row],[Type (TX, RX, TRX, Oscillator)]]="RX FE"),I129,#N/A)</f>
        <v>#N/A</v>
      </c>
      <c r="L129" s="1">
        <f>IF(OR(Table1[[#This Row],[Type (TX, RX, TRX, Oscillator)]]="TRX", Table1[[#This Row],[Type (TX, RX, TRX, Oscillator)]]="TRX FE"),I129,#N/A)</f>
        <v>2.4248711305964283</v>
      </c>
      <c r="M129" s="1" t="e">
        <f>IF(Table1[[#This Row],[Type (TX, RX, TRX, Oscillator)]]="Oscillator",I129,#N/A)</f>
        <v>#N/A</v>
      </c>
      <c r="N129" s="1" t="e">
        <f>IF(Table1[[#This Row],[Type (TX, RX, TRX, Oscillator)]]="Relay",I129,#N/A)</f>
        <v>#N/A</v>
      </c>
    </row>
    <row r="130" spans="1:14" x14ac:dyDescent="0.2">
      <c r="A130" s="1">
        <f>Table1[[#This Row],[Frequency (GHz)]]</f>
        <v>28</v>
      </c>
      <c r="B130" s="1">
        <f t="shared" si="1"/>
        <v>5.3571428571428568</v>
      </c>
      <c r="C130" s="1">
        <f>IF(ISNUMBER(Table1[[#This Row],[Chip Core Area / Element (mm2)]]),SQRT(Table1[[#This Row],[Chip Core Area / Element (mm2)]]),#N/A)</f>
        <v>2.0591745919178392</v>
      </c>
      <c r="D130" s="1">
        <f>IF(OR(Table1[[#This Row],[Type (TX, RX, TRX, Oscillator)]]="TX", Table1[[#This Row],[Type (TX, RX, TRX, Oscillator)]]="TX FE"),C130,#N/A)</f>
        <v>2.0591745919178392</v>
      </c>
      <c r="E130" s="1" t="e">
        <f>IF(OR(Table1[[#This Row],[Type (TX, RX, TRX, Oscillator)]]="RX", Table1[[#This Row],[Type (TX, RX, TRX, Oscillator)]]="RX FE"),C130,#N/A)</f>
        <v>#N/A</v>
      </c>
      <c r="F130" s="1" t="e">
        <f>IF(OR(Table1[[#This Row],[Type (TX, RX, TRX, Oscillator)]]="TRX", Table1[[#This Row],[Type (TX, RX, TRX, Oscillator)]]="TRX FE"),C130,#N/A)</f>
        <v>#N/A</v>
      </c>
      <c r="G130" s="1" t="e">
        <f>IF(Table1[[#This Row],[Type (TX, RX, TRX, Oscillator)]]="Oscillator",C130,#N/A)</f>
        <v>#N/A</v>
      </c>
      <c r="H130" s="1" t="e">
        <f>IF(Table1[[#This Row],[Type (TX, RX, TRX, Oscillator)]]="Relay",C130,#N/A)</f>
        <v>#N/A</v>
      </c>
      <c r="I130" s="1" t="e">
        <f>IF(ISNUMBER(Table1[[#This Row],[Array Aperture Area / Element (mm2)]]),SQRT(Table1[[#This Row],[Array Aperture Area / Element (mm2)]]),#N/A)</f>
        <v>#N/A</v>
      </c>
      <c r="J130" s="1" t="e">
        <f>IF(OR(Table1[[#This Row],[Type (TX, RX, TRX, Oscillator)]]="TX",Table1[[#This Row],[Type (TX, RX, TRX, Oscillator)]]="TX FE"),I130,#N/A)</f>
        <v>#N/A</v>
      </c>
      <c r="K130" s="1" t="e">
        <f>IF(OR(Table1[[#This Row],[Type (TX, RX, TRX, Oscillator)]]="RX",Table1[[#This Row],[Type (TX, RX, TRX, Oscillator)]]="RX FE"),I130,#N/A)</f>
        <v>#N/A</v>
      </c>
      <c r="L130" s="1" t="e">
        <f>IF(OR(Table1[[#This Row],[Type (TX, RX, TRX, Oscillator)]]="TRX", Table1[[#This Row],[Type (TX, RX, TRX, Oscillator)]]="TRX FE"),I130,#N/A)</f>
        <v>#N/A</v>
      </c>
      <c r="M130" s="1" t="e">
        <f>IF(Table1[[#This Row],[Type (TX, RX, TRX, Oscillator)]]="Oscillator",I130,#N/A)</f>
        <v>#N/A</v>
      </c>
      <c r="N130" s="1" t="e">
        <f>IF(Table1[[#This Row],[Type (TX, RX, TRX, Oscillator)]]="Relay",I130,#N/A)</f>
        <v>#N/A</v>
      </c>
    </row>
    <row r="131" spans="1:14" x14ac:dyDescent="0.2">
      <c r="A131" s="1">
        <f>Table1[[#This Row],[Frequency (GHz)]]</f>
        <v>77</v>
      </c>
      <c r="B131" s="1">
        <f t="shared" ref="B131:B147" si="2">300000000/(A131*1000000000)*1000/2</f>
        <v>1.948051948051948</v>
      </c>
      <c r="C131" s="1">
        <f>IF(ISNUMBER(Table1[[#This Row],[Chip Core Area / Element (mm2)]]),SQRT(Table1[[#This Row],[Chip Core Area / Element (mm2)]]),#N/A)</f>
        <v>0.76472217177220647</v>
      </c>
      <c r="D131" s="1">
        <f>IF(OR(Table1[[#This Row],[Type (TX, RX, TRX, Oscillator)]]="TX", Table1[[#This Row],[Type (TX, RX, TRX, Oscillator)]]="TX FE"),C131,#N/A)</f>
        <v>0.76472217177220647</v>
      </c>
      <c r="E131" s="1" t="e">
        <f>IF(OR(Table1[[#This Row],[Type (TX, RX, TRX, Oscillator)]]="RX", Table1[[#This Row],[Type (TX, RX, TRX, Oscillator)]]="RX FE"),C131,#N/A)</f>
        <v>#N/A</v>
      </c>
      <c r="F131" s="1" t="e">
        <f>IF(OR(Table1[[#This Row],[Type (TX, RX, TRX, Oscillator)]]="TRX", Table1[[#This Row],[Type (TX, RX, TRX, Oscillator)]]="TRX FE"),C131,#N/A)</f>
        <v>#N/A</v>
      </c>
      <c r="G131" s="1" t="e">
        <f>IF(Table1[[#This Row],[Type (TX, RX, TRX, Oscillator)]]="Oscillator",C131,#N/A)</f>
        <v>#N/A</v>
      </c>
      <c r="H131" s="1" t="e">
        <f>IF(Table1[[#This Row],[Type (TX, RX, TRX, Oscillator)]]="Relay",C131,#N/A)</f>
        <v>#N/A</v>
      </c>
      <c r="I131" s="1" t="e">
        <f>IF(ISNUMBER(Table1[[#This Row],[Array Aperture Area / Element (mm2)]]),SQRT(Table1[[#This Row],[Array Aperture Area / Element (mm2)]]),#N/A)</f>
        <v>#N/A</v>
      </c>
      <c r="J131" s="1" t="e">
        <f>IF(OR(Table1[[#This Row],[Type (TX, RX, TRX, Oscillator)]]="TX",Table1[[#This Row],[Type (TX, RX, TRX, Oscillator)]]="TX FE"),I131,#N/A)</f>
        <v>#N/A</v>
      </c>
      <c r="K131" s="1" t="e">
        <f>IF(OR(Table1[[#This Row],[Type (TX, RX, TRX, Oscillator)]]="RX",Table1[[#This Row],[Type (TX, RX, TRX, Oscillator)]]="RX FE"),I131,#N/A)</f>
        <v>#N/A</v>
      </c>
      <c r="L131" s="1" t="e">
        <f>IF(OR(Table1[[#This Row],[Type (TX, RX, TRX, Oscillator)]]="TRX", Table1[[#This Row],[Type (TX, RX, TRX, Oscillator)]]="TRX FE"),I131,#N/A)</f>
        <v>#N/A</v>
      </c>
      <c r="M131" s="1" t="e">
        <f>IF(Table1[[#This Row],[Type (TX, RX, TRX, Oscillator)]]="Oscillator",I131,#N/A)</f>
        <v>#N/A</v>
      </c>
      <c r="N131" s="1" t="e">
        <f>IF(Table1[[#This Row],[Type (TX, RX, TRX, Oscillator)]]="Relay",I131,#N/A)</f>
        <v>#N/A</v>
      </c>
    </row>
    <row r="132" spans="1:14" x14ac:dyDescent="0.2">
      <c r="A132" s="1">
        <f>Table1[[#This Row],[Frequency (GHz)]]</f>
        <v>246</v>
      </c>
      <c r="B132" s="1">
        <f t="shared" si="2"/>
        <v>0.6097560975609756</v>
      </c>
      <c r="C132" s="1">
        <f>IF(ISNUMBER(Table1[[#This Row],[Chip Core Area / Element (mm2)]]),SQRT(Table1[[#This Row],[Chip Core Area / Element (mm2)]]),#N/A)</f>
        <v>1.5219789748876296</v>
      </c>
      <c r="D132" s="1">
        <f>IF(OR(Table1[[#This Row],[Type (TX, RX, TRX, Oscillator)]]="TX", Table1[[#This Row],[Type (TX, RX, TRX, Oscillator)]]="TX FE"),C132,#N/A)</f>
        <v>1.5219789748876296</v>
      </c>
      <c r="E132" s="1" t="e">
        <f>IF(OR(Table1[[#This Row],[Type (TX, RX, TRX, Oscillator)]]="RX", Table1[[#This Row],[Type (TX, RX, TRX, Oscillator)]]="RX FE"),C132,#N/A)</f>
        <v>#N/A</v>
      </c>
      <c r="F132" s="1" t="e">
        <f>IF(OR(Table1[[#This Row],[Type (TX, RX, TRX, Oscillator)]]="TRX", Table1[[#This Row],[Type (TX, RX, TRX, Oscillator)]]="TRX FE"),C132,#N/A)</f>
        <v>#N/A</v>
      </c>
      <c r="G132" s="1" t="e">
        <f>IF(Table1[[#This Row],[Type (TX, RX, TRX, Oscillator)]]="Oscillator",C132,#N/A)</f>
        <v>#N/A</v>
      </c>
      <c r="H132" s="1" t="e">
        <f>IF(Table1[[#This Row],[Type (TX, RX, TRX, Oscillator)]]="Relay",C132,#N/A)</f>
        <v>#N/A</v>
      </c>
      <c r="I132" s="1" t="e">
        <f>IF(ISNUMBER(Table1[[#This Row],[Array Aperture Area / Element (mm2)]]),SQRT(Table1[[#This Row],[Array Aperture Area / Element (mm2)]]),#N/A)</f>
        <v>#N/A</v>
      </c>
      <c r="J132" s="1" t="e">
        <f>IF(OR(Table1[[#This Row],[Type (TX, RX, TRX, Oscillator)]]="TX",Table1[[#This Row],[Type (TX, RX, TRX, Oscillator)]]="TX FE"),I132,#N/A)</f>
        <v>#N/A</v>
      </c>
      <c r="K132" s="1" t="e">
        <f>IF(OR(Table1[[#This Row],[Type (TX, RX, TRX, Oscillator)]]="RX",Table1[[#This Row],[Type (TX, RX, TRX, Oscillator)]]="RX FE"),I132,#N/A)</f>
        <v>#N/A</v>
      </c>
      <c r="L132" s="1" t="e">
        <f>IF(OR(Table1[[#This Row],[Type (TX, RX, TRX, Oscillator)]]="TRX", Table1[[#This Row],[Type (TX, RX, TRX, Oscillator)]]="TRX FE"),I132,#N/A)</f>
        <v>#N/A</v>
      </c>
      <c r="M132" s="1" t="e">
        <f>IF(Table1[[#This Row],[Type (TX, RX, TRX, Oscillator)]]="Oscillator",I132,#N/A)</f>
        <v>#N/A</v>
      </c>
      <c r="N132" s="1" t="e">
        <f>IF(Table1[[#This Row],[Type (TX, RX, TRX, Oscillator)]]="Relay",I132,#N/A)</f>
        <v>#N/A</v>
      </c>
    </row>
    <row r="133" spans="1:14" x14ac:dyDescent="0.2">
      <c r="A133" s="1">
        <f>Table1[[#This Row],[Frequency (GHz)]]</f>
        <v>675</v>
      </c>
      <c r="B133" s="1">
        <f t="shared" si="2"/>
        <v>0.22222222222222224</v>
      </c>
      <c r="C133" s="1">
        <f>IF(ISNUMBER(Table1[[#This Row],[Chip Core Area / Element (mm2)]]),SQRT(Table1[[#This Row],[Chip Core Area / Element (mm2)]]),#N/A)</f>
        <v>0.19364916731037085</v>
      </c>
      <c r="D133" s="1" t="e">
        <f>IF(OR(Table1[[#This Row],[Type (TX, RX, TRX, Oscillator)]]="TX", Table1[[#This Row],[Type (TX, RX, TRX, Oscillator)]]="TX FE"),C133,#N/A)</f>
        <v>#N/A</v>
      </c>
      <c r="E133" s="1" t="e">
        <f>IF(OR(Table1[[#This Row],[Type (TX, RX, TRX, Oscillator)]]="RX", Table1[[#This Row],[Type (TX, RX, TRX, Oscillator)]]="RX FE"),C133,#N/A)</f>
        <v>#N/A</v>
      </c>
      <c r="F133" s="1" t="e">
        <f>IF(OR(Table1[[#This Row],[Type (TX, RX, TRX, Oscillator)]]="TRX", Table1[[#This Row],[Type (TX, RX, TRX, Oscillator)]]="TRX FE"),C133,#N/A)</f>
        <v>#N/A</v>
      </c>
      <c r="G133" s="1">
        <f>IF(Table1[[#This Row],[Type (TX, RX, TRX, Oscillator)]]="Oscillator",C133,#N/A)</f>
        <v>0.19364916731037085</v>
      </c>
      <c r="H133" s="1" t="e">
        <f>IF(Table1[[#This Row],[Type (TX, RX, TRX, Oscillator)]]="Relay",C133,#N/A)</f>
        <v>#N/A</v>
      </c>
      <c r="I133" s="1" t="e">
        <f>IF(ISNUMBER(Table1[[#This Row],[Array Aperture Area / Element (mm2)]]),SQRT(Table1[[#This Row],[Array Aperture Area / Element (mm2)]]),#N/A)</f>
        <v>#N/A</v>
      </c>
      <c r="J133" s="1" t="e">
        <f>IF(OR(Table1[[#This Row],[Type (TX, RX, TRX, Oscillator)]]="TX",Table1[[#This Row],[Type (TX, RX, TRX, Oscillator)]]="TX FE"),I133,#N/A)</f>
        <v>#N/A</v>
      </c>
      <c r="K133" s="1" t="e">
        <f>IF(OR(Table1[[#This Row],[Type (TX, RX, TRX, Oscillator)]]="RX",Table1[[#This Row],[Type (TX, RX, TRX, Oscillator)]]="RX FE"),I133,#N/A)</f>
        <v>#N/A</v>
      </c>
      <c r="L133" s="1" t="e">
        <f>IF(OR(Table1[[#This Row],[Type (TX, RX, TRX, Oscillator)]]="TRX", Table1[[#This Row],[Type (TX, RX, TRX, Oscillator)]]="TRX FE"),I133,#N/A)</f>
        <v>#N/A</v>
      </c>
      <c r="M133" s="1" t="e">
        <f>IF(Table1[[#This Row],[Type (TX, RX, TRX, Oscillator)]]="Oscillator",I133,#N/A)</f>
        <v>#N/A</v>
      </c>
      <c r="N133" s="1" t="e">
        <f>IF(Table1[[#This Row],[Type (TX, RX, TRX, Oscillator)]]="Relay",I133,#N/A)</f>
        <v>#N/A</v>
      </c>
    </row>
    <row r="134" spans="1:14" x14ac:dyDescent="0.2">
      <c r="A134" s="1">
        <f>Table1[[#This Row],[Frequency (GHz)]]</f>
        <v>140</v>
      </c>
      <c r="B134" s="1">
        <f t="shared" si="2"/>
        <v>1.0714285714285714</v>
      </c>
      <c r="C134" s="1">
        <f>IF(ISNUMBER(Table1[[#This Row],[Chip Core Area / Element (mm2)]]),SQRT(Table1[[#This Row],[Chip Core Area / Element (mm2)]]),#N/A)</f>
        <v>1.1907140714714006</v>
      </c>
      <c r="D134" s="1" t="e">
        <f>IF(OR(Table1[[#This Row],[Type (TX, RX, TRX, Oscillator)]]="TX", Table1[[#This Row],[Type (TX, RX, TRX, Oscillator)]]="TX FE"),C134,#N/A)</f>
        <v>#N/A</v>
      </c>
      <c r="E134" s="1">
        <f>IF(OR(Table1[[#This Row],[Type (TX, RX, TRX, Oscillator)]]="RX", Table1[[#This Row],[Type (TX, RX, TRX, Oscillator)]]="RX FE"),C134,#N/A)</f>
        <v>1.1907140714714006</v>
      </c>
      <c r="F134" s="1" t="e">
        <f>IF(OR(Table1[[#This Row],[Type (TX, RX, TRX, Oscillator)]]="TRX", Table1[[#This Row],[Type (TX, RX, TRX, Oscillator)]]="TRX FE"),C134,#N/A)</f>
        <v>#N/A</v>
      </c>
      <c r="G134" s="1" t="e">
        <f>IF(Table1[[#This Row],[Type (TX, RX, TRX, Oscillator)]]="Oscillator",C134,#N/A)</f>
        <v>#N/A</v>
      </c>
      <c r="H134" s="1" t="e">
        <f>IF(Table1[[#This Row],[Type (TX, RX, TRX, Oscillator)]]="Relay",C134,#N/A)</f>
        <v>#N/A</v>
      </c>
      <c r="I134" s="1" t="e">
        <f>IF(ISNUMBER(Table1[[#This Row],[Array Aperture Area / Element (mm2)]]),SQRT(Table1[[#This Row],[Array Aperture Area / Element (mm2)]]),#N/A)</f>
        <v>#N/A</v>
      </c>
      <c r="J134" s="1" t="e">
        <f>IF(OR(Table1[[#This Row],[Type (TX, RX, TRX, Oscillator)]]="TX",Table1[[#This Row],[Type (TX, RX, TRX, Oscillator)]]="TX FE"),I134,#N/A)</f>
        <v>#N/A</v>
      </c>
      <c r="K134" s="1" t="e">
        <f>IF(OR(Table1[[#This Row],[Type (TX, RX, TRX, Oscillator)]]="RX",Table1[[#This Row],[Type (TX, RX, TRX, Oscillator)]]="RX FE"),I134,#N/A)</f>
        <v>#N/A</v>
      </c>
      <c r="L134" s="1" t="e">
        <f>IF(OR(Table1[[#This Row],[Type (TX, RX, TRX, Oscillator)]]="TRX", Table1[[#This Row],[Type (TX, RX, TRX, Oscillator)]]="TRX FE"),I134,#N/A)</f>
        <v>#N/A</v>
      </c>
      <c r="M134" s="1" t="e">
        <f>IF(Table1[[#This Row],[Type (TX, RX, TRX, Oscillator)]]="Oscillator",I134,#N/A)</f>
        <v>#N/A</v>
      </c>
      <c r="N134" s="1" t="e">
        <f>IF(Table1[[#This Row],[Type (TX, RX, TRX, Oscillator)]]="Relay",I134,#N/A)</f>
        <v>#N/A</v>
      </c>
    </row>
    <row r="135" spans="1:14" x14ac:dyDescent="0.2">
      <c r="A135" s="1">
        <f>Table1[[#This Row],[Frequency (GHz)]]</f>
        <v>28</v>
      </c>
      <c r="B135" s="1">
        <f t="shared" si="2"/>
        <v>5.3571428571428568</v>
      </c>
      <c r="C135" s="1">
        <f>IF(ISNUMBER(Table1[[#This Row],[Chip Core Area / Element (mm2)]]),SQRT(Table1[[#This Row],[Chip Core Area / Element (mm2)]]),#N/A)</f>
        <v>2.075752875464707</v>
      </c>
      <c r="D135" s="1" t="e">
        <f>IF(OR(Table1[[#This Row],[Type (TX, RX, TRX, Oscillator)]]="TX", Table1[[#This Row],[Type (TX, RX, TRX, Oscillator)]]="TX FE"),C135,#N/A)</f>
        <v>#N/A</v>
      </c>
      <c r="E135" s="1">
        <f>IF(OR(Table1[[#This Row],[Type (TX, RX, TRX, Oscillator)]]="RX", Table1[[#This Row],[Type (TX, RX, TRX, Oscillator)]]="RX FE"),C135,#N/A)</f>
        <v>2.075752875464707</v>
      </c>
      <c r="F135" s="1" t="e">
        <f>IF(OR(Table1[[#This Row],[Type (TX, RX, TRX, Oscillator)]]="TRX", Table1[[#This Row],[Type (TX, RX, TRX, Oscillator)]]="TRX FE"),C135,#N/A)</f>
        <v>#N/A</v>
      </c>
      <c r="G135" s="1" t="e">
        <f>IF(Table1[[#This Row],[Type (TX, RX, TRX, Oscillator)]]="Oscillator",C135,#N/A)</f>
        <v>#N/A</v>
      </c>
      <c r="H135" s="1" t="e">
        <f>IF(Table1[[#This Row],[Type (TX, RX, TRX, Oscillator)]]="Relay",C135,#N/A)</f>
        <v>#N/A</v>
      </c>
      <c r="I135" s="1" t="e">
        <f>IF(ISNUMBER(Table1[[#This Row],[Array Aperture Area / Element (mm2)]]),SQRT(Table1[[#This Row],[Array Aperture Area / Element (mm2)]]),#N/A)</f>
        <v>#N/A</v>
      </c>
      <c r="J135" s="1" t="e">
        <f>IF(OR(Table1[[#This Row],[Type (TX, RX, TRX, Oscillator)]]="TX",Table1[[#This Row],[Type (TX, RX, TRX, Oscillator)]]="TX FE"),I135,#N/A)</f>
        <v>#N/A</v>
      </c>
      <c r="K135" s="1" t="e">
        <f>IF(OR(Table1[[#This Row],[Type (TX, RX, TRX, Oscillator)]]="RX",Table1[[#This Row],[Type (TX, RX, TRX, Oscillator)]]="RX FE"),I135,#N/A)</f>
        <v>#N/A</v>
      </c>
      <c r="L135" s="1" t="e">
        <f>IF(OR(Table1[[#This Row],[Type (TX, RX, TRX, Oscillator)]]="TRX", Table1[[#This Row],[Type (TX, RX, TRX, Oscillator)]]="TRX FE"),I135,#N/A)</f>
        <v>#N/A</v>
      </c>
      <c r="M135" s="1" t="e">
        <f>IF(Table1[[#This Row],[Type (TX, RX, TRX, Oscillator)]]="Oscillator",I135,#N/A)</f>
        <v>#N/A</v>
      </c>
      <c r="N135" s="1" t="e">
        <f>IF(Table1[[#This Row],[Type (TX, RX, TRX, Oscillator)]]="Relay",I135,#N/A)</f>
        <v>#N/A</v>
      </c>
    </row>
    <row r="136" spans="1:14" x14ac:dyDescent="0.2">
      <c r="A136" s="1">
        <f>Table1[[#This Row],[Frequency (GHz)]]</f>
        <v>607</v>
      </c>
      <c r="B136" s="1">
        <f t="shared" si="2"/>
        <v>0.24711696869851732</v>
      </c>
      <c r="C136" s="1">
        <f>IF(ISNUMBER(Table1[[#This Row],[Chip Core Area / Element (mm2)]]),SQRT(Table1[[#This Row],[Chip Core Area / Element (mm2)]]),#N/A)</f>
        <v>0.27930717856868631</v>
      </c>
      <c r="D136" s="1" t="e">
        <f>IF(OR(Table1[[#This Row],[Type (TX, RX, TRX, Oscillator)]]="TX", Table1[[#This Row],[Type (TX, RX, TRX, Oscillator)]]="TX FE"),C136,#N/A)</f>
        <v>#N/A</v>
      </c>
      <c r="E136" s="1" t="e">
        <f>IF(OR(Table1[[#This Row],[Type (TX, RX, TRX, Oscillator)]]="RX", Table1[[#This Row],[Type (TX, RX, TRX, Oscillator)]]="RX FE"),C136,#N/A)</f>
        <v>#N/A</v>
      </c>
      <c r="F136" s="1" t="e">
        <f>IF(OR(Table1[[#This Row],[Type (TX, RX, TRX, Oscillator)]]="TRX", Table1[[#This Row],[Type (TX, RX, TRX, Oscillator)]]="TRX FE"),C136,#N/A)</f>
        <v>#N/A</v>
      </c>
      <c r="G136" s="1">
        <f>IF(Table1[[#This Row],[Type (TX, RX, TRX, Oscillator)]]="Oscillator",C136,#N/A)</f>
        <v>0.27930717856868631</v>
      </c>
      <c r="H136" s="1" t="e">
        <f>IF(Table1[[#This Row],[Type (TX, RX, TRX, Oscillator)]]="Relay",C136,#N/A)</f>
        <v>#N/A</v>
      </c>
      <c r="I136" s="1" t="e">
        <f>IF(ISNUMBER(Table1[[#This Row],[Array Aperture Area / Element (mm2)]]),SQRT(Table1[[#This Row],[Array Aperture Area / Element (mm2)]]),#N/A)</f>
        <v>#N/A</v>
      </c>
      <c r="J136" s="1" t="e">
        <f>IF(OR(Table1[[#This Row],[Type (TX, RX, TRX, Oscillator)]]="TX",Table1[[#This Row],[Type (TX, RX, TRX, Oscillator)]]="TX FE"),I136,#N/A)</f>
        <v>#N/A</v>
      </c>
      <c r="K136" s="1" t="e">
        <f>IF(OR(Table1[[#This Row],[Type (TX, RX, TRX, Oscillator)]]="RX",Table1[[#This Row],[Type (TX, RX, TRX, Oscillator)]]="RX FE"),I136,#N/A)</f>
        <v>#N/A</v>
      </c>
      <c r="L136" s="1" t="e">
        <f>IF(OR(Table1[[#This Row],[Type (TX, RX, TRX, Oscillator)]]="TRX", Table1[[#This Row],[Type (TX, RX, TRX, Oscillator)]]="TRX FE"),I136,#N/A)</f>
        <v>#N/A</v>
      </c>
      <c r="M136" s="1" t="e">
        <f>IF(Table1[[#This Row],[Type (TX, RX, TRX, Oscillator)]]="Oscillator",I136,#N/A)</f>
        <v>#N/A</v>
      </c>
      <c r="N136" s="1" t="e">
        <f>IF(Table1[[#This Row],[Type (TX, RX, TRX, Oscillator)]]="Relay",I136,#N/A)</f>
        <v>#N/A</v>
      </c>
    </row>
    <row r="137" spans="1:14" x14ac:dyDescent="0.2">
      <c r="A137" s="1">
        <f>Table1[[#This Row],[Frequency (GHz)]]</f>
        <v>26.26</v>
      </c>
      <c r="B137" s="1">
        <f t="shared" si="2"/>
        <v>5.7121096725057123</v>
      </c>
      <c r="C137" s="1">
        <f>IF(ISNUMBER(Table1[[#This Row],[Chip Core Area / Element (mm2)]]),SQRT(Table1[[#This Row],[Chip Core Area / Element (mm2)]]),#N/A)</f>
        <v>1.8746733048720783</v>
      </c>
      <c r="D137" s="1">
        <f>IF(OR(Table1[[#This Row],[Type (TX, RX, TRX, Oscillator)]]="TX", Table1[[#This Row],[Type (TX, RX, TRX, Oscillator)]]="TX FE"),C137,#N/A)</f>
        <v>1.8746733048720783</v>
      </c>
      <c r="E137" s="1" t="e">
        <f>IF(OR(Table1[[#This Row],[Type (TX, RX, TRX, Oscillator)]]="RX", Table1[[#This Row],[Type (TX, RX, TRX, Oscillator)]]="RX FE"),C137,#N/A)</f>
        <v>#N/A</v>
      </c>
      <c r="F137" s="1" t="e">
        <f>IF(OR(Table1[[#This Row],[Type (TX, RX, TRX, Oscillator)]]="TRX", Table1[[#This Row],[Type (TX, RX, TRX, Oscillator)]]="TRX FE"),C137,#N/A)</f>
        <v>#N/A</v>
      </c>
      <c r="G137" s="1" t="e">
        <f>IF(Table1[[#This Row],[Type (TX, RX, TRX, Oscillator)]]="Oscillator",C137,#N/A)</f>
        <v>#N/A</v>
      </c>
      <c r="H137" s="1" t="e">
        <f>IF(Table1[[#This Row],[Type (TX, RX, TRX, Oscillator)]]="Relay",C137,#N/A)</f>
        <v>#N/A</v>
      </c>
      <c r="I137" s="1" t="e">
        <f>IF(ISNUMBER(Table1[[#This Row],[Array Aperture Area / Element (mm2)]]),SQRT(Table1[[#This Row],[Array Aperture Area / Element (mm2)]]),#N/A)</f>
        <v>#N/A</v>
      </c>
      <c r="J137" s="1" t="e">
        <f>IF(OR(Table1[[#This Row],[Type (TX, RX, TRX, Oscillator)]]="TX",Table1[[#This Row],[Type (TX, RX, TRX, Oscillator)]]="TX FE"),I137,#N/A)</f>
        <v>#N/A</v>
      </c>
      <c r="K137" s="1" t="e">
        <f>IF(OR(Table1[[#This Row],[Type (TX, RX, TRX, Oscillator)]]="RX",Table1[[#This Row],[Type (TX, RX, TRX, Oscillator)]]="RX FE"),I137,#N/A)</f>
        <v>#N/A</v>
      </c>
      <c r="L137" s="1" t="e">
        <f>IF(OR(Table1[[#This Row],[Type (TX, RX, TRX, Oscillator)]]="TRX", Table1[[#This Row],[Type (TX, RX, TRX, Oscillator)]]="TRX FE"),I137,#N/A)</f>
        <v>#N/A</v>
      </c>
      <c r="M137" s="1" t="e">
        <f>IF(Table1[[#This Row],[Type (TX, RX, TRX, Oscillator)]]="Oscillator",I137,#N/A)</f>
        <v>#N/A</v>
      </c>
      <c r="N137" s="1" t="e">
        <f>IF(Table1[[#This Row],[Type (TX, RX, TRX, Oscillator)]]="Relay",I137,#N/A)</f>
        <v>#N/A</v>
      </c>
    </row>
    <row r="138" spans="1:14" x14ac:dyDescent="0.2">
      <c r="A138" s="1">
        <f>Table1[[#This Row],[Frequency (GHz)]]</f>
        <v>90</v>
      </c>
      <c r="B138" s="1">
        <f t="shared" si="2"/>
        <v>1.6666666666666667</v>
      </c>
      <c r="C138" s="1">
        <f>IF(ISNUMBER(Table1[[#This Row],[Chip Core Area / Element (mm2)]]),SQRT(Table1[[#This Row],[Chip Core Area / Element (mm2)]]),#N/A)</f>
        <v>0.78841613377708086</v>
      </c>
      <c r="D138" s="1">
        <f>IF(OR(Table1[[#This Row],[Type (TX, RX, TRX, Oscillator)]]="TX", Table1[[#This Row],[Type (TX, RX, TRX, Oscillator)]]="TX FE"),C138,#N/A)</f>
        <v>0.78841613377708086</v>
      </c>
      <c r="E138" s="1" t="e">
        <f>IF(OR(Table1[[#This Row],[Type (TX, RX, TRX, Oscillator)]]="RX", Table1[[#This Row],[Type (TX, RX, TRX, Oscillator)]]="RX FE"),C138,#N/A)</f>
        <v>#N/A</v>
      </c>
      <c r="F138" s="1" t="e">
        <f>IF(OR(Table1[[#This Row],[Type (TX, RX, TRX, Oscillator)]]="TRX", Table1[[#This Row],[Type (TX, RX, TRX, Oscillator)]]="TRX FE"),C138,#N/A)</f>
        <v>#N/A</v>
      </c>
      <c r="G138" s="1" t="e">
        <f>IF(Table1[[#This Row],[Type (TX, RX, TRX, Oscillator)]]="Oscillator",C138,#N/A)</f>
        <v>#N/A</v>
      </c>
      <c r="H138" s="1" t="e">
        <f>IF(Table1[[#This Row],[Type (TX, RX, TRX, Oscillator)]]="Relay",C138,#N/A)</f>
        <v>#N/A</v>
      </c>
      <c r="I138" s="1" t="e">
        <f>IF(ISNUMBER(Table1[[#This Row],[Array Aperture Area / Element (mm2)]]),SQRT(Table1[[#This Row],[Array Aperture Area / Element (mm2)]]),#N/A)</f>
        <v>#N/A</v>
      </c>
      <c r="J138" s="1" t="e">
        <f>IF(OR(Table1[[#This Row],[Type (TX, RX, TRX, Oscillator)]]="TX",Table1[[#This Row],[Type (TX, RX, TRX, Oscillator)]]="TX FE"),I138,#N/A)</f>
        <v>#N/A</v>
      </c>
      <c r="K138" s="1" t="e">
        <f>IF(OR(Table1[[#This Row],[Type (TX, RX, TRX, Oscillator)]]="RX",Table1[[#This Row],[Type (TX, RX, TRX, Oscillator)]]="RX FE"),I138,#N/A)</f>
        <v>#N/A</v>
      </c>
      <c r="L138" s="1" t="e">
        <f>IF(OR(Table1[[#This Row],[Type (TX, RX, TRX, Oscillator)]]="TRX", Table1[[#This Row],[Type (TX, RX, TRX, Oscillator)]]="TRX FE"),I138,#N/A)</f>
        <v>#N/A</v>
      </c>
      <c r="M138" s="1" t="e">
        <f>IF(Table1[[#This Row],[Type (TX, RX, TRX, Oscillator)]]="Oscillator",I138,#N/A)</f>
        <v>#N/A</v>
      </c>
      <c r="N138" s="1" t="e">
        <f>IF(Table1[[#This Row],[Type (TX, RX, TRX, Oscillator)]]="Relay",I138,#N/A)</f>
        <v>#N/A</v>
      </c>
    </row>
    <row r="139" spans="1:14" x14ac:dyDescent="0.2">
      <c r="A139" s="1">
        <f>Table1[[#This Row],[Frequency (GHz)]]</f>
        <v>90</v>
      </c>
      <c r="B139" s="1">
        <f t="shared" si="2"/>
        <v>1.6666666666666667</v>
      </c>
      <c r="C139" s="1">
        <f>IF(ISNUMBER(Table1[[#This Row],[Chip Core Area / Element (mm2)]]),SQRT(Table1[[#This Row],[Chip Core Area / Element (mm2)]]),#N/A)</f>
        <v>0.95367709419907953</v>
      </c>
      <c r="D139" s="1" t="e">
        <f>IF(OR(Table1[[#This Row],[Type (TX, RX, TRX, Oscillator)]]="TX", Table1[[#This Row],[Type (TX, RX, TRX, Oscillator)]]="TX FE"),C139,#N/A)</f>
        <v>#N/A</v>
      </c>
      <c r="E139" s="1">
        <f>IF(OR(Table1[[#This Row],[Type (TX, RX, TRX, Oscillator)]]="RX", Table1[[#This Row],[Type (TX, RX, TRX, Oscillator)]]="RX FE"),C139,#N/A)</f>
        <v>0.95367709419907953</v>
      </c>
      <c r="F139" s="1" t="e">
        <f>IF(OR(Table1[[#This Row],[Type (TX, RX, TRX, Oscillator)]]="TRX", Table1[[#This Row],[Type (TX, RX, TRX, Oscillator)]]="TRX FE"),C139,#N/A)</f>
        <v>#N/A</v>
      </c>
      <c r="G139" s="1" t="e">
        <f>IF(Table1[[#This Row],[Type (TX, RX, TRX, Oscillator)]]="Oscillator",C139,#N/A)</f>
        <v>#N/A</v>
      </c>
      <c r="H139" s="1" t="e">
        <f>IF(Table1[[#This Row],[Type (TX, RX, TRX, Oscillator)]]="Relay",C139,#N/A)</f>
        <v>#N/A</v>
      </c>
      <c r="I139" s="1" t="e">
        <f>IF(ISNUMBER(Table1[[#This Row],[Array Aperture Area / Element (mm2)]]),SQRT(Table1[[#This Row],[Array Aperture Area / Element (mm2)]]),#N/A)</f>
        <v>#N/A</v>
      </c>
      <c r="J139" s="1" t="e">
        <f>IF(OR(Table1[[#This Row],[Type (TX, RX, TRX, Oscillator)]]="TX",Table1[[#This Row],[Type (TX, RX, TRX, Oscillator)]]="TX FE"),I139,#N/A)</f>
        <v>#N/A</v>
      </c>
      <c r="K139" s="1" t="e">
        <f>IF(OR(Table1[[#This Row],[Type (TX, RX, TRX, Oscillator)]]="RX",Table1[[#This Row],[Type (TX, RX, TRX, Oscillator)]]="RX FE"),I139,#N/A)</f>
        <v>#N/A</v>
      </c>
      <c r="L139" s="1" t="e">
        <f>IF(OR(Table1[[#This Row],[Type (TX, RX, TRX, Oscillator)]]="TRX", Table1[[#This Row],[Type (TX, RX, TRX, Oscillator)]]="TRX FE"),I139,#N/A)</f>
        <v>#N/A</v>
      </c>
      <c r="M139" s="1" t="e">
        <f>IF(Table1[[#This Row],[Type (TX, RX, TRX, Oscillator)]]="Oscillator",I139,#N/A)</f>
        <v>#N/A</v>
      </c>
      <c r="N139" s="1" t="e">
        <f>IF(Table1[[#This Row],[Type (TX, RX, TRX, Oscillator)]]="Relay",I139,#N/A)</f>
        <v>#N/A</v>
      </c>
    </row>
    <row r="140" spans="1:14" x14ac:dyDescent="0.2">
      <c r="A140" s="1">
        <f>Table1[[#This Row],[Frequency (GHz)]]</f>
        <v>260</v>
      </c>
      <c r="B140" s="1">
        <f t="shared" si="2"/>
        <v>0.57692307692307698</v>
      </c>
      <c r="C140" s="1">
        <f>IF(ISNUMBER(Table1[[#This Row],[Chip Core Area / Element (mm2)]]),SQRT(Table1[[#This Row],[Chip Core Area / Element (mm2)]]),#N/A)</f>
        <v>0.84209560027350816</v>
      </c>
      <c r="D140" s="1" t="e">
        <f>IF(OR(Table1[[#This Row],[Type (TX, RX, TRX, Oscillator)]]="TX", Table1[[#This Row],[Type (TX, RX, TRX, Oscillator)]]="TX FE"),C140,#N/A)</f>
        <v>#N/A</v>
      </c>
      <c r="E140" s="1" t="e">
        <f>IF(OR(Table1[[#This Row],[Type (TX, RX, TRX, Oscillator)]]="RX", Table1[[#This Row],[Type (TX, RX, TRX, Oscillator)]]="RX FE"),C140,#N/A)</f>
        <v>#N/A</v>
      </c>
      <c r="F140" s="1" t="e">
        <f>IF(OR(Table1[[#This Row],[Type (TX, RX, TRX, Oscillator)]]="TRX", Table1[[#This Row],[Type (TX, RX, TRX, Oscillator)]]="TRX FE"),C140,#N/A)</f>
        <v>#N/A</v>
      </c>
      <c r="G140" s="1" t="e">
        <f>IF(Table1[[#This Row],[Type (TX, RX, TRX, Oscillator)]]="Oscillator",C140,#N/A)</f>
        <v>#N/A</v>
      </c>
      <c r="H140" s="1">
        <f>IF(Table1[[#This Row],[Type (TX, RX, TRX, Oscillator)]]="Relay",C140,#N/A)</f>
        <v>0.84209560027350816</v>
      </c>
      <c r="I140" s="1" t="e">
        <f>IF(ISNUMBER(Table1[[#This Row],[Array Aperture Area / Element (mm2)]]),SQRT(Table1[[#This Row],[Array Aperture Area / Element (mm2)]]),#N/A)</f>
        <v>#N/A</v>
      </c>
      <c r="J140" s="1" t="e">
        <f>IF(OR(Table1[[#This Row],[Type (TX, RX, TRX, Oscillator)]]="TX",Table1[[#This Row],[Type (TX, RX, TRX, Oscillator)]]="TX FE"),I140,#N/A)</f>
        <v>#N/A</v>
      </c>
      <c r="K140" s="1" t="e">
        <f>IF(OR(Table1[[#This Row],[Type (TX, RX, TRX, Oscillator)]]="RX",Table1[[#This Row],[Type (TX, RX, TRX, Oscillator)]]="RX FE"),I140,#N/A)</f>
        <v>#N/A</v>
      </c>
      <c r="L140" s="1" t="e">
        <f>IF(OR(Table1[[#This Row],[Type (TX, RX, TRX, Oscillator)]]="TRX", Table1[[#This Row],[Type (TX, RX, TRX, Oscillator)]]="TRX FE"),I140,#N/A)</f>
        <v>#N/A</v>
      </c>
      <c r="M140" s="1" t="e">
        <f>IF(Table1[[#This Row],[Type (TX, RX, TRX, Oscillator)]]="Oscillator",I140,#N/A)</f>
        <v>#N/A</v>
      </c>
      <c r="N140" s="1" t="e">
        <f>IF(Table1[[#This Row],[Type (TX, RX, TRX, Oscillator)]]="Relay",I140,#N/A)</f>
        <v>#N/A</v>
      </c>
    </row>
    <row r="141" spans="1:14" x14ac:dyDescent="0.2">
      <c r="A141" s="1">
        <f>Table1[[#This Row],[Frequency (GHz)]]</f>
        <v>35</v>
      </c>
      <c r="B141" s="1">
        <f t="shared" si="2"/>
        <v>4.2857142857142856</v>
      </c>
      <c r="C141" s="1">
        <f>IF(ISNUMBER(Table1[[#This Row],[Chip Core Area / Element (mm2)]]),SQRT(Table1[[#This Row],[Chip Core Area / Element (mm2)]]),#N/A)</f>
        <v>2.1637005338077633</v>
      </c>
      <c r="D141" s="1" t="e">
        <f>IF(OR(Table1[[#This Row],[Type (TX, RX, TRX, Oscillator)]]="TX", Table1[[#This Row],[Type (TX, RX, TRX, Oscillator)]]="TX FE"),C141,#N/A)</f>
        <v>#N/A</v>
      </c>
      <c r="E141" s="1" t="e">
        <f>IF(OR(Table1[[#This Row],[Type (TX, RX, TRX, Oscillator)]]="RX", Table1[[#This Row],[Type (TX, RX, TRX, Oscillator)]]="RX FE"),C141,#N/A)</f>
        <v>#N/A</v>
      </c>
      <c r="F141" s="1">
        <f>IF(OR(Table1[[#This Row],[Type (TX, RX, TRX, Oscillator)]]="TRX", Table1[[#This Row],[Type (TX, RX, TRX, Oscillator)]]="TRX FE"),C141,#N/A)</f>
        <v>2.1637005338077633</v>
      </c>
      <c r="G141" s="1" t="e">
        <f>IF(Table1[[#This Row],[Type (TX, RX, TRX, Oscillator)]]="Oscillator",C141,#N/A)</f>
        <v>#N/A</v>
      </c>
      <c r="H141" s="1" t="e">
        <f>IF(Table1[[#This Row],[Type (TX, RX, TRX, Oscillator)]]="Relay",C141,#N/A)</f>
        <v>#N/A</v>
      </c>
      <c r="I141" s="1" t="e">
        <f>IF(ISNUMBER(Table1[[#This Row],[Array Aperture Area / Element (mm2)]]),SQRT(Table1[[#This Row],[Array Aperture Area / Element (mm2)]]),#N/A)</f>
        <v>#N/A</v>
      </c>
      <c r="J141" s="1" t="e">
        <f>IF(OR(Table1[[#This Row],[Type (TX, RX, TRX, Oscillator)]]="TX",Table1[[#This Row],[Type (TX, RX, TRX, Oscillator)]]="TX FE"),I141,#N/A)</f>
        <v>#N/A</v>
      </c>
      <c r="K141" s="1" t="e">
        <f>IF(OR(Table1[[#This Row],[Type (TX, RX, TRX, Oscillator)]]="RX",Table1[[#This Row],[Type (TX, RX, TRX, Oscillator)]]="RX FE"),I141,#N/A)</f>
        <v>#N/A</v>
      </c>
      <c r="L141" s="1" t="e">
        <f>IF(OR(Table1[[#This Row],[Type (TX, RX, TRX, Oscillator)]]="TRX", Table1[[#This Row],[Type (TX, RX, TRX, Oscillator)]]="TRX FE"),I141,#N/A)</f>
        <v>#N/A</v>
      </c>
      <c r="M141" s="1" t="e">
        <f>IF(Table1[[#This Row],[Type (TX, RX, TRX, Oscillator)]]="Oscillator",I141,#N/A)</f>
        <v>#N/A</v>
      </c>
      <c r="N141" s="1" t="e">
        <f>IF(Table1[[#This Row],[Type (TX, RX, TRX, Oscillator)]]="Relay",I141,#N/A)</f>
        <v>#N/A</v>
      </c>
    </row>
    <row r="142" spans="1:14" x14ac:dyDescent="0.2">
      <c r="A142" s="1">
        <f>Table1[[#This Row],[Frequency (GHz)]]</f>
        <v>5.8</v>
      </c>
      <c r="B142" s="1">
        <f t="shared" si="2"/>
        <v>25.862068965517242</v>
      </c>
      <c r="C142" s="1">
        <f>IF(ISNUMBER(Table1[[#This Row],[Chip Core Area / Element (mm2)]]),SQRT(Table1[[#This Row],[Chip Core Area / Element (mm2)]]),#N/A)</f>
        <v>0.60855018965844832</v>
      </c>
      <c r="D142" s="1" t="e">
        <f>IF(OR(Table1[[#This Row],[Type (TX, RX, TRX, Oscillator)]]="TX", Table1[[#This Row],[Type (TX, RX, TRX, Oscillator)]]="TX FE"),C142,#N/A)</f>
        <v>#N/A</v>
      </c>
      <c r="E142" s="1" t="e">
        <f>IF(OR(Table1[[#This Row],[Type (TX, RX, TRX, Oscillator)]]="RX", Table1[[#This Row],[Type (TX, RX, TRX, Oscillator)]]="RX FE"),C142,#N/A)</f>
        <v>#N/A</v>
      </c>
      <c r="F142" s="1">
        <f>IF(OR(Table1[[#This Row],[Type (TX, RX, TRX, Oscillator)]]="TRX", Table1[[#This Row],[Type (TX, RX, TRX, Oscillator)]]="TRX FE"),C142,#N/A)</f>
        <v>0.60855018965844832</v>
      </c>
      <c r="G142" s="1" t="e">
        <f>IF(Table1[[#This Row],[Type (TX, RX, TRX, Oscillator)]]="Oscillator",C142,#N/A)</f>
        <v>#N/A</v>
      </c>
      <c r="H142" s="1" t="e">
        <f>IF(Table1[[#This Row],[Type (TX, RX, TRX, Oscillator)]]="Relay",C142,#N/A)</f>
        <v>#N/A</v>
      </c>
      <c r="I142" s="1">
        <f>IF(ISNUMBER(Table1[[#This Row],[Array Aperture Area / Element (mm2)]]),SQRT(Table1[[#This Row],[Array Aperture Area / Element (mm2)]]),#N/A)</f>
        <v>7.3710582686612911</v>
      </c>
      <c r="J142" s="1" t="e">
        <f>IF(OR(Table1[[#This Row],[Type (TX, RX, TRX, Oscillator)]]="TX",Table1[[#This Row],[Type (TX, RX, TRX, Oscillator)]]="TX FE"),I142,#N/A)</f>
        <v>#N/A</v>
      </c>
      <c r="K142" s="1" t="e">
        <f>IF(OR(Table1[[#This Row],[Type (TX, RX, TRX, Oscillator)]]="RX",Table1[[#This Row],[Type (TX, RX, TRX, Oscillator)]]="RX FE"),I142,#N/A)</f>
        <v>#N/A</v>
      </c>
      <c r="L142" s="1">
        <f>IF(OR(Table1[[#This Row],[Type (TX, RX, TRX, Oscillator)]]="TRX", Table1[[#This Row],[Type (TX, RX, TRX, Oscillator)]]="TRX FE"),I142,#N/A)</f>
        <v>7.3710582686612911</v>
      </c>
      <c r="M142" s="1" t="e">
        <f>IF(Table1[[#This Row],[Type (TX, RX, TRX, Oscillator)]]="Oscillator",I142,#N/A)</f>
        <v>#N/A</v>
      </c>
      <c r="N142" s="1" t="e">
        <f>IF(Table1[[#This Row],[Type (TX, RX, TRX, Oscillator)]]="Relay",I142,#N/A)</f>
        <v>#N/A</v>
      </c>
    </row>
    <row r="143" spans="1:14" x14ac:dyDescent="0.2">
      <c r="A143" s="1">
        <f>Table1[[#This Row],[Frequency (GHz)]]</f>
        <v>39</v>
      </c>
      <c r="B143" s="1">
        <f t="shared" si="2"/>
        <v>3.8461538461538463</v>
      </c>
      <c r="C143" s="1">
        <f>IF(ISNUMBER(Table1[[#This Row],[Chip Core Area / Element (mm2)]]),SQRT(Table1[[#This Row],[Chip Core Area / Element (mm2)]]),#N/A)</f>
        <v>1.4615573885414148</v>
      </c>
      <c r="D143" s="1" t="e">
        <f>IF(OR(Table1[[#This Row],[Type (TX, RX, TRX, Oscillator)]]="TX", Table1[[#This Row],[Type (TX, RX, TRX, Oscillator)]]="TX FE"),C143,#N/A)</f>
        <v>#N/A</v>
      </c>
      <c r="E143" s="1" t="e">
        <f>IF(OR(Table1[[#This Row],[Type (TX, RX, TRX, Oscillator)]]="RX", Table1[[#This Row],[Type (TX, RX, TRX, Oscillator)]]="RX FE"),C143,#N/A)</f>
        <v>#N/A</v>
      </c>
      <c r="F143" s="1">
        <f>IF(OR(Table1[[#This Row],[Type (TX, RX, TRX, Oscillator)]]="TRX", Table1[[#This Row],[Type (TX, RX, TRX, Oscillator)]]="TRX FE"),C143,#N/A)</f>
        <v>1.4615573885414148</v>
      </c>
      <c r="G143" s="1" t="e">
        <f>IF(Table1[[#This Row],[Type (TX, RX, TRX, Oscillator)]]="Oscillator",C143,#N/A)</f>
        <v>#N/A</v>
      </c>
      <c r="H143" s="1" t="e">
        <f>IF(Table1[[#This Row],[Type (TX, RX, TRX, Oscillator)]]="Relay",C143,#N/A)</f>
        <v>#N/A</v>
      </c>
      <c r="I143" s="1">
        <f>IF(ISNUMBER(Table1[[#This Row],[Array Aperture Area / Element (mm2)]]),SQRT(Table1[[#This Row],[Array Aperture Area / Element (mm2)]]),#N/A)</f>
        <v>3.4234485537247381</v>
      </c>
      <c r="J143" s="1" t="e">
        <f>IF(OR(Table1[[#This Row],[Type (TX, RX, TRX, Oscillator)]]="TX",Table1[[#This Row],[Type (TX, RX, TRX, Oscillator)]]="TX FE"),I143,#N/A)</f>
        <v>#N/A</v>
      </c>
      <c r="K143" s="1" t="e">
        <f>IF(OR(Table1[[#This Row],[Type (TX, RX, TRX, Oscillator)]]="RX",Table1[[#This Row],[Type (TX, RX, TRX, Oscillator)]]="RX FE"),I143,#N/A)</f>
        <v>#N/A</v>
      </c>
      <c r="L143" s="1">
        <f>IF(OR(Table1[[#This Row],[Type (TX, RX, TRX, Oscillator)]]="TRX", Table1[[#This Row],[Type (TX, RX, TRX, Oscillator)]]="TRX FE"),I143,#N/A)</f>
        <v>3.4234485537247381</v>
      </c>
      <c r="M143" s="1" t="e">
        <f>IF(Table1[[#This Row],[Type (TX, RX, TRX, Oscillator)]]="Oscillator",I143,#N/A)</f>
        <v>#N/A</v>
      </c>
      <c r="N143" s="1" t="e">
        <f>IF(Table1[[#This Row],[Type (TX, RX, TRX, Oscillator)]]="Relay",I143,#N/A)</f>
        <v>#N/A</v>
      </c>
    </row>
    <row r="144" spans="1:14" x14ac:dyDescent="0.2">
      <c r="A144" s="1">
        <f>Table1[[#This Row],[Frequency (GHz)]]</f>
        <v>28</v>
      </c>
      <c r="B144" s="1">
        <f t="shared" si="2"/>
        <v>5.3571428571428568</v>
      </c>
      <c r="C144" s="1">
        <f>IF(ISNUMBER(Table1[[#This Row],[Chip Core Area / Element (mm2)]]),SQRT(Table1[[#This Row],[Chip Core Area / Element (mm2)]]),#N/A)</f>
        <v>1.8029004409561831</v>
      </c>
      <c r="D144" s="1" t="e">
        <f>IF(OR(Table1[[#This Row],[Type (TX, RX, TRX, Oscillator)]]="TX", Table1[[#This Row],[Type (TX, RX, TRX, Oscillator)]]="TX FE"),C144,#N/A)</f>
        <v>#N/A</v>
      </c>
      <c r="E144" s="1" t="e">
        <f>IF(OR(Table1[[#This Row],[Type (TX, RX, TRX, Oscillator)]]="RX", Table1[[#This Row],[Type (TX, RX, TRX, Oscillator)]]="RX FE"),C144,#N/A)</f>
        <v>#N/A</v>
      </c>
      <c r="F144" s="1" t="e">
        <f>IF(OR(Table1[[#This Row],[Type (TX, RX, TRX, Oscillator)]]="TRX", Table1[[#This Row],[Type (TX, RX, TRX, Oscillator)]]="TRX FE"),C144,#N/A)</f>
        <v>#N/A</v>
      </c>
      <c r="G144" s="1" t="e">
        <f>IF(Table1[[#This Row],[Type (TX, RX, TRX, Oscillator)]]="Oscillator",C144,#N/A)</f>
        <v>#N/A</v>
      </c>
      <c r="H144" s="1">
        <f>IF(Table1[[#This Row],[Type (TX, RX, TRX, Oscillator)]]="Relay",C144,#N/A)</f>
        <v>1.8029004409561831</v>
      </c>
      <c r="I144" s="1" t="e">
        <f>IF(ISNUMBER(Table1[[#This Row],[Array Aperture Area / Element (mm2)]]),SQRT(Table1[[#This Row],[Array Aperture Area / Element (mm2)]]),#N/A)</f>
        <v>#N/A</v>
      </c>
      <c r="J144" s="1" t="e">
        <f>IF(OR(Table1[[#This Row],[Type (TX, RX, TRX, Oscillator)]]="TX",Table1[[#This Row],[Type (TX, RX, TRX, Oscillator)]]="TX FE"),I144,#N/A)</f>
        <v>#N/A</v>
      </c>
      <c r="K144" s="1" t="e">
        <f>IF(OR(Table1[[#This Row],[Type (TX, RX, TRX, Oscillator)]]="RX",Table1[[#This Row],[Type (TX, RX, TRX, Oscillator)]]="RX FE"),I144,#N/A)</f>
        <v>#N/A</v>
      </c>
      <c r="L144" s="1" t="e">
        <f>IF(OR(Table1[[#This Row],[Type (TX, RX, TRX, Oscillator)]]="TRX", Table1[[#This Row],[Type (TX, RX, TRX, Oscillator)]]="TRX FE"),I144,#N/A)</f>
        <v>#N/A</v>
      </c>
      <c r="M144" s="1" t="e">
        <f>IF(Table1[[#This Row],[Type (TX, RX, TRX, Oscillator)]]="Oscillator",I144,#N/A)</f>
        <v>#N/A</v>
      </c>
      <c r="N144" s="1" t="e">
        <f>IF(Table1[[#This Row],[Type (TX, RX, TRX, Oscillator)]]="Relay",I144,#N/A)</f>
        <v>#N/A</v>
      </c>
    </row>
    <row r="145" spans="1:14" x14ac:dyDescent="0.2">
      <c r="A145" s="1">
        <f>Table1[[#This Row],[Frequency (GHz)]]</f>
        <v>30</v>
      </c>
      <c r="B145" s="1">
        <f t="shared" si="2"/>
        <v>5</v>
      </c>
      <c r="C145" s="1">
        <f>IF(ISNUMBER(Table1[[#This Row],[Chip Core Area / Element (mm2)]]),SQRT(Table1[[#This Row],[Chip Core Area / Element (mm2)]]),#N/A)</f>
        <v>1.6032467059064865</v>
      </c>
      <c r="D145" s="1" t="e">
        <f>IF(OR(Table1[[#This Row],[Type (TX, RX, TRX, Oscillator)]]="TX", Table1[[#This Row],[Type (TX, RX, TRX, Oscillator)]]="TX FE"),C145,#N/A)</f>
        <v>#N/A</v>
      </c>
      <c r="E145" s="1">
        <f>IF(OR(Table1[[#This Row],[Type (TX, RX, TRX, Oscillator)]]="RX", Table1[[#This Row],[Type (TX, RX, TRX, Oscillator)]]="RX FE"),C145,#N/A)</f>
        <v>1.6032467059064865</v>
      </c>
      <c r="F145" s="1" t="e">
        <f>IF(OR(Table1[[#This Row],[Type (TX, RX, TRX, Oscillator)]]="TRX", Table1[[#This Row],[Type (TX, RX, TRX, Oscillator)]]="TRX FE"),C145,#N/A)</f>
        <v>#N/A</v>
      </c>
      <c r="G145" s="1" t="e">
        <f>IF(Table1[[#This Row],[Type (TX, RX, TRX, Oscillator)]]="Oscillator",C145,#N/A)</f>
        <v>#N/A</v>
      </c>
      <c r="H145" s="1" t="e">
        <f>IF(Table1[[#This Row],[Type (TX, RX, TRX, Oscillator)]]="Relay",C145,#N/A)</f>
        <v>#N/A</v>
      </c>
      <c r="I145" s="1" t="e">
        <f>IF(ISNUMBER(Table1[[#This Row],[Array Aperture Area / Element (mm2)]]),SQRT(Table1[[#This Row],[Array Aperture Area / Element (mm2)]]),#N/A)</f>
        <v>#N/A</v>
      </c>
      <c r="J145" s="1" t="e">
        <f>IF(OR(Table1[[#This Row],[Type (TX, RX, TRX, Oscillator)]]="TX",Table1[[#This Row],[Type (TX, RX, TRX, Oscillator)]]="TX FE"),I145,#N/A)</f>
        <v>#N/A</v>
      </c>
      <c r="K145" s="1" t="e">
        <f>IF(OR(Table1[[#This Row],[Type (TX, RX, TRX, Oscillator)]]="RX",Table1[[#This Row],[Type (TX, RX, TRX, Oscillator)]]="RX FE"),I145,#N/A)</f>
        <v>#N/A</v>
      </c>
      <c r="L145" s="1" t="e">
        <f>IF(OR(Table1[[#This Row],[Type (TX, RX, TRX, Oscillator)]]="TRX", Table1[[#This Row],[Type (TX, RX, TRX, Oscillator)]]="TRX FE"),I145,#N/A)</f>
        <v>#N/A</v>
      </c>
      <c r="M145" s="1" t="e">
        <f>IF(Table1[[#This Row],[Type (TX, RX, TRX, Oscillator)]]="Oscillator",I145,#N/A)</f>
        <v>#N/A</v>
      </c>
      <c r="N145" s="1" t="e">
        <f>IF(Table1[[#This Row],[Type (TX, RX, TRX, Oscillator)]]="Relay",I145,#N/A)</f>
        <v>#N/A</v>
      </c>
    </row>
    <row r="146" spans="1:14" x14ac:dyDescent="0.2">
      <c r="A146" s="1">
        <f>Table1[[#This Row],[Frequency (GHz)]]</f>
        <v>140</v>
      </c>
      <c r="B146" s="1">
        <f t="shared" si="2"/>
        <v>1.0714285714285714</v>
      </c>
      <c r="C146" s="1">
        <f>IF(ISNUMBER(Table1[[#This Row],[Chip Core Area / Element (mm2)]]),SQRT(Table1[[#This Row],[Chip Core Area / Element (mm2)]]),#N/A)</f>
        <v>1.1365277110986947</v>
      </c>
      <c r="D146" s="1" t="e">
        <f>IF(OR(Table1[[#This Row],[Type (TX, RX, TRX, Oscillator)]]="TX", Table1[[#This Row],[Type (TX, RX, TRX, Oscillator)]]="TX FE"),C146,#N/A)</f>
        <v>#N/A</v>
      </c>
      <c r="E146" s="1" t="e">
        <f>IF(OR(Table1[[#This Row],[Type (TX, RX, TRX, Oscillator)]]="RX", Table1[[#This Row],[Type (TX, RX, TRX, Oscillator)]]="RX FE"),C146,#N/A)</f>
        <v>#N/A</v>
      </c>
      <c r="F146" s="1">
        <f>IF(OR(Table1[[#This Row],[Type (TX, RX, TRX, Oscillator)]]="TRX", Table1[[#This Row],[Type (TX, RX, TRX, Oscillator)]]="TRX FE"),C146,#N/A)</f>
        <v>1.1365277110986947</v>
      </c>
      <c r="G146" s="1" t="e">
        <f>IF(Table1[[#This Row],[Type (TX, RX, TRX, Oscillator)]]="Oscillator",C146,#N/A)</f>
        <v>#N/A</v>
      </c>
      <c r="H146" s="1" t="e">
        <f>IF(Table1[[#This Row],[Type (TX, RX, TRX, Oscillator)]]="Relay",C146,#N/A)</f>
        <v>#N/A</v>
      </c>
      <c r="I146" s="1">
        <f>IF(ISNUMBER(Table1[[#This Row],[Array Aperture Area / Element (mm2)]]),SQRT(Table1[[#This Row],[Array Aperture Area / Element (mm2)]]),#N/A)</f>
        <v>1.0863499666313798</v>
      </c>
      <c r="J146" s="1" t="e">
        <f>IF(OR(Table1[[#This Row],[Type (TX, RX, TRX, Oscillator)]]="TX",Table1[[#This Row],[Type (TX, RX, TRX, Oscillator)]]="TX FE"),I146,#N/A)</f>
        <v>#N/A</v>
      </c>
      <c r="K146" s="1" t="e">
        <f>IF(OR(Table1[[#This Row],[Type (TX, RX, TRX, Oscillator)]]="RX",Table1[[#This Row],[Type (TX, RX, TRX, Oscillator)]]="RX FE"),I146,#N/A)</f>
        <v>#N/A</v>
      </c>
      <c r="L146" s="1">
        <f>IF(OR(Table1[[#This Row],[Type (TX, RX, TRX, Oscillator)]]="TRX", Table1[[#This Row],[Type (TX, RX, TRX, Oscillator)]]="TRX FE"),I146,#N/A)</f>
        <v>1.0863499666313798</v>
      </c>
      <c r="M146" s="1" t="e">
        <f>IF(Table1[[#This Row],[Type (TX, RX, TRX, Oscillator)]]="Oscillator",I146,#N/A)</f>
        <v>#N/A</v>
      </c>
      <c r="N146" s="1" t="e">
        <f>IF(Table1[[#This Row],[Type (TX, RX, TRX, Oscillator)]]="Relay",I146,#N/A)</f>
        <v>#N/A</v>
      </c>
    </row>
    <row r="147" spans="1:14" x14ac:dyDescent="0.2">
      <c r="A147" s="1">
        <f>Table1[[#This Row],[Frequency (GHz)]]</f>
        <v>28.7</v>
      </c>
      <c r="B147" s="1">
        <f t="shared" si="2"/>
        <v>5.2264808362369344</v>
      </c>
      <c r="C147" s="1">
        <f>IF(ISNUMBER(Table1[[#This Row],[Chip Core Area / Element (mm2)]]),SQRT(Table1[[#This Row],[Chip Core Area / Element (mm2)]]),#N/A)</f>
        <v>2.4700000000000002</v>
      </c>
      <c r="D147" s="1" t="e">
        <f>IF(OR(Table1[[#This Row],[Type (TX, RX, TRX, Oscillator)]]="TX", Table1[[#This Row],[Type (TX, RX, TRX, Oscillator)]]="TX FE"),C147,#N/A)</f>
        <v>#N/A</v>
      </c>
      <c r="E147" s="1" t="e">
        <f>IF(OR(Table1[[#This Row],[Type (TX, RX, TRX, Oscillator)]]="RX", Table1[[#This Row],[Type (TX, RX, TRX, Oscillator)]]="RX FE"),C147,#N/A)</f>
        <v>#N/A</v>
      </c>
      <c r="F147" s="1" t="e">
        <f>IF(OR(Table1[[#This Row],[Type (TX, RX, TRX, Oscillator)]]="TRX", Table1[[#This Row],[Type (TX, RX, TRX, Oscillator)]]="TRX FE"),C147,#N/A)</f>
        <v>#N/A</v>
      </c>
      <c r="G147" s="1" t="e">
        <f>IF(Table1[[#This Row],[Type (TX, RX, TRX, Oscillator)]]="Oscillator",C147,#N/A)</f>
        <v>#N/A</v>
      </c>
      <c r="H147" s="1" t="e">
        <f>IF(Table1[[#This Row],[Type (TX, RX, TRX, Oscillator)]]="Relay",C147,#N/A)</f>
        <v>#N/A</v>
      </c>
      <c r="I147" s="1" t="e">
        <f>IF(ISNUMBER(Table1[[#This Row],[Array Aperture Area / Element (mm2)]]),SQRT(Table1[[#This Row],[Array Aperture Area / Element (mm2)]]),#N/A)</f>
        <v>#N/A</v>
      </c>
      <c r="J147" s="1" t="e">
        <f>IF(OR(Table1[[#This Row],[Type (TX, RX, TRX, Oscillator)]]="TX",Table1[[#This Row],[Type (TX, RX, TRX, Oscillator)]]="TX FE"),I147,#N/A)</f>
        <v>#N/A</v>
      </c>
      <c r="K147" s="1" t="e">
        <f>IF(OR(Table1[[#This Row],[Type (TX, RX, TRX, Oscillator)]]="RX",Table1[[#This Row],[Type (TX, RX, TRX, Oscillator)]]="RX FE"),I147,#N/A)</f>
        <v>#N/A</v>
      </c>
      <c r="L147" s="1" t="e">
        <f>IF(OR(Table1[[#This Row],[Type (TX, RX, TRX, Oscillator)]]="TRX", Table1[[#This Row],[Type (TX, RX, TRX, Oscillator)]]="TRX FE"),I147,#N/A)</f>
        <v>#N/A</v>
      </c>
      <c r="M147" s="1" t="e">
        <f>IF(Table1[[#This Row],[Type (TX, RX, TRX, Oscillator)]]="Oscillator",I147,#N/A)</f>
        <v>#N/A</v>
      </c>
      <c r="N147" s="1" t="e">
        <f>IF(Table1[[#This Row],[Type (TX, RX, TRX, Oscillator)]]="Relay",I147,#N/A)</f>
        <v>#N/A</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AA7E-7241-4236-B4DC-A536B4D83E91}">
  <dimension ref="A1:AU147"/>
  <sheetViews>
    <sheetView topLeftCell="A94" zoomScale="85" zoomScaleNormal="85" workbookViewId="0">
      <selection activeCell="AN129" sqref="AN129"/>
    </sheetView>
  </sheetViews>
  <sheetFormatPr baseColWidth="10" defaultColWidth="8.83203125" defaultRowHeight="15" x14ac:dyDescent="0.2"/>
  <cols>
    <col min="1" max="1" width="9.83203125" style="1" bestFit="1" customWidth="1"/>
    <col min="2" max="2" width="9.83203125" style="1" customWidth="1"/>
    <col min="3" max="3" width="10.5" style="1" bestFit="1" customWidth="1"/>
    <col min="4" max="4" width="10.1640625" style="1" bestFit="1" customWidth="1"/>
    <col min="5" max="5" width="18.5" style="1" bestFit="1" customWidth="1"/>
    <col min="6" max="7" width="12" style="1" bestFit="1" customWidth="1"/>
    <col min="8" max="10" width="11.33203125" style="1" customWidth="1"/>
    <col min="11" max="11" width="15.5" style="1" bestFit="1" customWidth="1"/>
    <col min="12" max="14" width="8.83203125" style="1"/>
    <col min="15" max="15" width="9.83203125" style="1" bestFit="1" customWidth="1"/>
    <col min="16" max="17" width="10.83203125" style="1" bestFit="1" customWidth="1"/>
    <col min="18" max="18" width="8.1640625" style="1" bestFit="1" customWidth="1"/>
    <col min="19" max="20" width="8.83203125" style="1"/>
    <col min="21" max="21" width="7.1640625" style="1" bestFit="1" customWidth="1"/>
    <col min="22" max="23" width="8.83203125" style="1"/>
    <col min="24" max="24" width="9.83203125" style="1" bestFit="1" customWidth="1"/>
    <col min="25" max="26" width="10.83203125" style="1" bestFit="1" customWidth="1"/>
    <col min="27" max="28" width="8.83203125" style="1"/>
    <col min="29" max="29" width="29.6640625" style="1" bestFit="1" customWidth="1"/>
    <col min="30" max="30" width="29.6640625" style="1" customWidth="1"/>
    <col min="31" max="34" width="8.83203125" style="1"/>
    <col min="35" max="35" width="12" style="1" bestFit="1" customWidth="1"/>
    <col min="36" max="38" width="8.83203125" style="1"/>
    <col min="39" max="39" width="29.6640625" style="1" bestFit="1" customWidth="1"/>
    <col min="40" max="40" width="29.6640625" style="1" customWidth="1"/>
    <col min="41" max="44" width="8.83203125" style="1"/>
    <col min="45" max="45" width="12" style="1" bestFit="1" customWidth="1"/>
    <col min="46" max="16384" width="8.83203125" style="1"/>
  </cols>
  <sheetData>
    <row r="1" spans="1:47" x14ac:dyDescent="0.2">
      <c r="A1" s="1" t="s">
        <v>293</v>
      </c>
      <c r="B1" s="1" t="s">
        <v>390</v>
      </c>
      <c r="C1" s="1" t="s">
        <v>294</v>
      </c>
      <c r="D1" s="1" t="s">
        <v>295</v>
      </c>
      <c r="E1" s="1" t="s">
        <v>296</v>
      </c>
      <c r="F1" s="1" t="s">
        <v>299</v>
      </c>
      <c r="G1" s="1" t="s">
        <v>389</v>
      </c>
      <c r="K1" s="1" t="s">
        <v>379</v>
      </c>
      <c r="L1" s="1" t="s">
        <v>378</v>
      </c>
      <c r="M1" s="1" t="s">
        <v>380</v>
      </c>
      <c r="N1" s="1" t="s">
        <v>381</v>
      </c>
      <c r="O1" s="1" t="s">
        <v>382</v>
      </c>
      <c r="P1" s="1" t="s">
        <v>383</v>
      </c>
      <c r="Q1" s="1" t="s">
        <v>384</v>
      </c>
      <c r="R1" s="1" t="s">
        <v>385</v>
      </c>
      <c r="T1" s="1" t="s">
        <v>387</v>
      </c>
      <c r="U1" s="1" t="s">
        <v>378</v>
      </c>
      <c r="V1" s="1" t="s">
        <v>380</v>
      </c>
      <c r="W1" s="1" t="s">
        <v>381</v>
      </c>
      <c r="X1" s="1" t="s">
        <v>382</v>
      </c>
      <c r="Y1" s="1" t="s">
        <v>383</v>
      </c>
      <c r="Z1" s="1" t="s">
        <v>384</v>
      </c>
      <c r="AA1" s="1" t="s">
        <v>385</v>
      </c>
      <c r="AC1" s="1" t="s">
        <v>386</v>
      </c>
      <c r="AD1" s="1" t="s">
        <v>391</v>
      </c>
      <c r="AE1" s="1" t="s">
        <v>378</v>
      </c>
      <c r="AF1" s="1" t="s">
        <v>380</v>
      </c>
      <c r="AG1" s="1" t="s">
        <v>381</v>
      </c>
      <c r="AH1" s="1" t="s">
        <v>382</v>
      </c>
      <c r="AI1" s="1" t="s">
        <v>383</v>
      </c>
      <c r="AJ1" s="1" t="s">
        <v>384</v>
      </c>
      <c r="AK1" s="1" t="s">
        <v>385</v>
      </c>
      <c r="AM1" s="1" t="s">
        <v>388</v>
      </c>
      <c r="AN1" s="1" t="s">
        <v>391</v>
      </c>
      <c r="AO1" s="1" t="s">
        <v>378</v>
      </c>
      <c r="AP1" s="1" t="s">
        <v>380</v>
      </c>
      <c r="AQ1" s="1" t="s">
        <v>381</v>
      </c>
      <c r="AR1" s="1" t="s">
        <v>382</v>
      </c>
      <c r="AS1" s="1" t="s">
        <v>383</v>
      </c>
      <c r="AT1" s="1" t="s">
        <v>384</v>
      </c>
      <c r="AU1" s="1" t="s">
        <v>385</v>
      </c>
    </row>
    <row r="2" spans="1:47" x14ac:dyDescent="0.2">
      <c r="A2" s="25">
        <f>IF(ISNUMBER(Table1[[#This Row],[Total Pout/Prad (dBm)]]),Table1[[#This Row],[Total Pout/Prad (dBm)]],#N/A)</f>
        <v>21.341199826559251</v>
      </c>
      <c r="B2" s="1">
        <f>IF(ISNUMBER(Table1[[#This Row],[Total Pout/Prad (dBm)]]),Table1[[#This Row],[Total '# of TX Elements]],#N/A)</f>
        <v>16</v>
      </c>
      <c r="C2" s="1">
        <f>IF(ISNUMBER(Table1[[#This Row],[TX EIRP (dBm)]]),Table1[[#This Row],[TX EIRP (dBm)]],#N/A)</f>
        <v>42</v>
      </c>
      <c r="D2" s="1">
        <f>Table1[[#This Row],[TX Pdc (W)]]</f>
        <v>3.8</v>
      </c>
      <c r="E2" s="1">
        <f>IF(ISNUMBER(Table1[[#This Row],[Array Aperture Size (cm2)]]),Table1[[#This Row],[Array Aperture Size (cm2)]],IF(Table1[[#This Row],[Antenna on (None, Chip, AiP, PCB)]]="Chip",Table1[[#This Row],[Chip Core Size - X (mm)]]*Table1[[#This Row],[Chip Core Size -Y (mm)]]/100*Table1[[#This Row],['# of IC per Tile]]*Table1[[#This Row],['# of Array Tile]],#N/A))</f>
        <v>7.839999999999999</v>
      </c>
      <c r="F2" s="1">
        <f>IF(AND(ISNUMBER(A2),ISNUMBER(D2)),(10^(A2/10)/1000)/D2*100,#N/A)</f>
        <v>3.583739108220537</v>
      </c>
      <c r="G2" s="1">
        <f>IF(AND(ISNUMBER(C2),ISNUMBER(D2)),(10^(C2/10)/1000)/D2*100,#N/A)</f>
        <v>417.07715591081967</v>
      </c>
      <c r="L2" s="1" t="e">
        <f>IF(Table1[[#This Row],[Frequency (GHz)]]&lt;20,Plot_Data_Power!F2,#N/A)</f>
        <v>#N/A</v>
      </c>
      <c r="M2" s="1" t="e">
        <f>IF(AND(Table1[[#This Row],[Frequency (GHz)]]&gt;=20,Table1[[#This Row],[Frequency (GHz)]]&lt;50),Plot_Data_Power!F2,#N/A)</f>
        <v>#N/A</v>
      </c>
      <c r="N2" s="1">
        <f>IF(AND(Table1[[#This Row],[Frequency (GHz)]]&gt;=50,Table1[[#This Row],[Frequency (GHz)]]&lt;75),Plot_Data_Power!F2,#N/A)</f>
        <v>3.583739108220537</v>
      </c>
      <c r="O2" s="1" t="e">
        <f>IF(AND(Table1[[#This Row],[Frequency (GHz)]]&gt;=75,Table1[[#This Row],[Frequency (GHz)]]&lt;110),Plot_Data_Power!F2,#N/A)</f>
        <v>#N/A</v>
      </c>
      <c r="P2" s="1" t="e">
        <f>IF(AND(Table1[[#This Row],[Frequency (GHz)]]&gt;=110,Table1[[#This Row],[Frequency (GHz)]]&lt;170),Plot_Data_Power!F2,#N/A)</f>
        <v>#N/A</v>
      </c>
      <c r="Q2" s="1" t="e">
        <f>IF(AND(Table1[[#This Row],[Frequency (GHz)]]&gt;=170,Table1[[#This Row],[Frequency (GHz)]]&lt;260),Plot_Data_Power!F2,#N/A)</f>
        <v>#N/A</v>
      </c>
      <c r="R2" s="1" t="e">
        <f>IF(Table1[[#This Row],[Frequency (GHz)]]&gt;=260,Plot_Data_Power!F2,#N/A)</f>
        <v>#N/A</v>
      </c>
      <c r="U2" s="1" t="e">
        <f>IF(Table1[[#This Row],[Frequency (GHz)]]&lt;20,Plot_Data_Power!G2,#N/A)</f>
        <v>#N/A</v>
      </c>
      <c r="V2" s="1" t="e">
        <f>IF(AND(Table1[[#This Row],[Frequency (GHz)]]&gt;=20,Table1[[#This Row],[Frequency (GHz)]]&lt;50),Plot_Data_Power!G2,#N/A)</f>
        <v>#N/A</v>
      </c>
      <c r="W2" s="1">
        <f>IF(AND(Table1[[#This Row],[Frequency (GHz)]]&gt;=50,Table1[[#This Row],[Frequency (GHz)]]&lt;75),Plot_Data_Power!G2,#N/A)</f>
        <v>417.07715591081967</v>
      </c>
      <c r="X2" s="1" t="e">
        <f>IF(AND(Table1[[#This Row],[Frequency (GHz)]]&gt;=75,Table1[[#This Row],[Frequency (GHz)]]&lt;110),Plot_Data_Power!G2,#N/A)</f>
        <v>#N/A</v>
      </c>
      <c r="Y2" s="1" t="e">
        <f>IF(AND(Table1[[#This Row],[Frequency (GHz)]]&gt;=110,Table1[[#This Row],[Frequency (GHz)]]&lt;170),Plot_Data_Power!G2,#N/A)</f>
        <v>#N/A</v>
      </c>
      <c r="Z2" s="1" t="e">
        <f>IF(AND(Table1[[#This Row],[Frequency (GHz)]]&gt;=170,Table1[[#This Row],[Frequency (GHz)]]&lt;260),Plot_Data_Power!G2,#N/A)</f>
        <v>#N/A</v>
      </c>
      <c r="AA2" s="1" t="e">
        <f>IF(Table1[[#This Row],[Frequency (GHz)]]&gt;=260,Plot_Data_Power!G2,#N/A)</f>
        <v>#N/A</v>
      </c>
      <c r="AD2" s="1">
        <f>IF(ISNUMBER(Table1[[#This Row],[Max Package Thermal Density (W/cm2)]]),Table1[[#This Row],[Max Package Thermal Density (W/cm2)]],#N/A)</f>
        <v>0.48469387755102045</v>
      </c>
      <c r="AE2" s="1" t="e">
        <f>IF(AND(ISNUMBER((Table1[[#This Row],[Max Package Thermal Density (W/cm2)]])),Table1[[#This Row],[Frequency (GHz)]]&lt;20),Table1[[#This Row],[Max Package Thermal Density (W/cm2)]],#N/A)</f>
        <v>#N/A</v>
      </c>
      <c r="AF2" s="1" t="e">
        <f>IF(AND(ISNUMBER(Table1[[#This Row],[Max Package Thermal Density (W/cm2)]]),Table1[[#This Row],[Frequency (GHz)]]&gt;=20,Table1[[#This Row],[Frequency (GHz)]]&lt;50),Table1[[#This Row],[Max Package Thermal Density (W/cm2)]],#N/A)</f>
        <v>#N/A</v>
      </c>
      <c r="AG2" s="1">
        <f>IF(AND(ISNUMBER(Table1[[#This Row],[Max Package Thermal Density (W/cm2)]]),Table1[[#This Row],[Frequency (GHz)]]&gt;=50,Table1[[#This Row],[Frequency (GHz)]]&lt;75),Table1[[#This Row],[Max Package Thermal Density (W/cm2)]],#N/A)</f>
        <v>0.48469387755102045</v>
      </c>
      <c r="AH2" s="1" t="e">
        <f>IF(AND(ISNUMBER(Table1[[#This Row],[Max Package Thermal Density (W/cm2)]]),Table1[[#This Row],[Frequency (GHz)]]&gt;=75,Table1[[#This Row],[Frequency (GHz)]]&lt;110),Table1[[#This Row],[Max Package Thermal Density (W/cm2)]],#N/A)</f>
        <v>#N/A</v>
      </c>
      <c r="AI2" s="1" t="e">
        <f>IF(AND(ISNUMBER(Table1[[#This Row],[Max Package Thermal Density (W/cm2)]]),Table1[[#This Row],[Frequency (GHz)]]&gt;=110,Table1[[#This Row],[Frequency (GHz)]]&lt;170),Table1[[#This Row],[Max Package Thermal Density (W/cm2)]],#N/A)</f>
        <v>#N/A</v>
      </c>
      <c r="AJ2" s="1" t="e">
        <f>IF(AND(ISNUMBER(Table1[[#This Row],[Max Package Thermal Density (W/cm2)]]),Table1[[#This Row],[Frequency (GHz)]]&gt;=170,Table1[[#This Row],[Frequency (GHz)]]&lt;260),Table1[[#This Row],[Max Package Thermal Density (W/cm2)]],#N/A)</f>
        <v>#N/A</v>
      </c>
      <c r="AK2" s="1" t="e">
        <f>IF(AND(ISNUMBER(Table1[[#This Row],[Max Package Thermal Density (W/cm2)]]),Table1[[#This Row],[Frequency (GHz)]]&gt;=260),Table1[[#This Row],[Max Package Thermal Density (W/cm2)]],#N/A)</f>
        <v>#N/A</v>
      </c>
      <c r="AN2" s="1">
        <f>IF(ISNUMBER(Table1[[#This Row],[Max Chip Thermal Density (W/cm2)]]),Table1[[#This Row],[Max Chip Thermal Density (W/cm2)]],#N/A)</f>
        <v>8.6609686609686598</v>
      </c>
      <c r="AO2" s="1" t="e">
        <f>IF(AND(ISNUMBER((Table1[[#This Row],[Max Chip Thermal Density (W/cm2)]])),Table1[[#This Row],[Frequency (GHz)]]&lt;20),Table1[[#This Row],[Max Chip Thermal Density (W/cm2)]],#N/A)</f>
        <v>#N/A</v>
      </c>
      <c r="AP2" s="1" t="e">
        <f>IF(AND(ISNUMBER(Table1[[#This Row],[Max Chip Thermal Density (W/cm2)]]),Table1[[#This Row],[Frequency (GHz)]]&gt;=20,Table1[[#This Row],[Frequency (GHz)]]&lt;50),Table1[[#This Row],[Max Chip Thermal Density (W/cm2)]],#N/A)</f>
        <v>#N/A</v>
      </c>
      <c r="AQ2" s="1">
        <f>IF(AND(ISNUMBER(Table1[[#This Row],[Max Chip Thermal Density (W/cm2)]]),Table1[[#This Row],[Frequency (GHz)]]&gt;=50,Table1[[#This Row],[Frequency (GHz)]]&lt;75),Table1[[#This Row],[Max Chip Thermal Density (W/cm2)]],#N/A)</f>
        <v>8.6609686609686598</v>
      </c>
      <c r="AR2" s="1" t="e">
        <f>IF(AND(ISNUMBER(Table1[[#This Row],[Max Chip Thermal Density (W/cm2)]]),Table1[[#This Row],[Frequency (GHz)]]&gt;=75,Table1[[#This Row],[Frequency (GHz)]]&lt;110),Table1[[#This Row],[Max Chip Thermal Density (W/cm2)]],#N/A)</f>
        <v>#N/A</v>
      </c>
      <c r="AS2" s="1" t="e">
        <f>IF(AND(ISNUMBER(Table1[[#This Row],[Max Chip Thermal Density (W/cm2)]]),Table1[[#This Row],[Frequency (GHz)]]&gt;=110,Table1[[#This Row],[Frequency (GHz)]]&lt;170),Table1[[#This Row],[Max Chip Thermal Density (W/cm2)]],#N/A)</f>
        <v>#N/A</v>
      </c>
      <c r="AT2" s="1" t="e">
        <f>IF(AND(ISNUMBER(Table1[[#This Row],[Max Chip Thermal Density (W/cm2)]]),Table1[[#This Row],[Frequency (GHz)]]&gt;=170,Table1[[#This Row],[Frequency (GHz)]]&lt;260),Table1[[#This Row],[Max Chip Thermal Density (W/cm2)]],#N/A)</f>
        <v>#N/A</v>
      </c>
      <c r="AU2" s="1" t="e">
        <f>IF(AND(ISNUMBER(Table1[[#This Row],[Max Chip Thermal Density (W/cm2)]]),Table1[[#This Row],[Frequency (GHz)]]&gt;=260),Table1[[#This Row],[Max Chip Thermal Density (W/cm2)]],#N/A)</f>
        <v>#N/A</v>
      </c>
    </row>
    <row r="3" spans="1:47" x14ac:dyDescent="0.2">
      <c r="A3" s="25" t="e">
        <f>IF(ISNUMBER(Table1[[#This Row],[Total Pout/Prad (dBm)]]),Table1[[#This Row],[Total Pout/Prad (dBm)]],#N/A)</f>
        <v>#N/A</v>
      </c>
      <c r="B3" s="1" t="e">
        <f>IF(ISNUMBER(Table1[[#This Row],[Total Pout/Prad (dBm)]]),Table1[[#This Row],[Total '# of TX Elements]],#N/A)</f>
        <v>#N/A</v>
      </c>
      <c r="C3" s="1">
        <f>IF(ISNUMBER(Table1[[#This Row],[TX EIRP (dBm)]]),Table1[[#This Row],[TX EIRP (dBm)]],#N/A)</f>
        <v>28</v>
      </c>
      <c r="D3" s="1">
        <f>Table1[[#This Row],[TX Pdc (W)]]</f>
        <v>1.82</v>
      </c>
      <c r="E3"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3" s="1" t="e">
        <f t="shared" ref="F3:F66" si="0">IF(AND(ISNUMBER(A3),ISNUMBER(D3)),(10^(A3/10)/1000)/D3*100,#N/A)</f>
        <v>#N/A</v>
      </c>
      <c r="G3" s="1">
        <f t="shared" ref="G3:G66" si="1">IF(AND(ISNUMBER(C3),ISNUMBER(D3)),(10^(C3/10)/1000)/D3*100,#N/A)</f>
        <v>34.667985960450174</v>
      </c>
      <c r="L3" s="1" t="e">
        <f>IF(Table1[[#This Row],[Frequency (GHz)]]&lt;20,Plot_Data_Power!F3,#N/A)</f>
        <v>#N/A</v>
      </c>
      <c r="M3" s="1" t="e">
        <f>IF(AND(Table1[[#This Row],[Frequency (GHz)]]&gt;=20,Table1[[#This Row],[Frequency (GHz)]]&lt;50),Plot_Data_Power!F3,#N/A)</f>
        <v>#N/A</v>
      </c>
      <c r="N3" s="1" t="e">
        <f>IF(AND(Table1[[#This Row],[Frequency (GHz)]]&gt;=50,Table1[[#This Row],[Frequency (GHz)]]&lt;75),Plot_Data_Power!F3,#N/A)</f>
        <v>#N/A</v>
      </c>
      <c r="O3" s="1" t="e">
        <f>IF(AND(Table1[[#This Row],[Frequency (GHz)]]&gt;=75,Table1[[#This Row],[Frequency (GHz)]]&lt;110),Plot_Data_Power!F3,#N/A)</f>
        <v>#N/A</v>
      </c>
      <c r="P3" s="1" t="e">
        <f>IF(AND(Table1[[#This Row],[Frequency (GHz)]]&gt;=110,Table1[[#This Row],[Frequency (GHz)]]&lt;170),Plot_Data_Power!F3,#N/A)</f>
        <v>#N/A</v>
      </c>
      <c r="Q3" s="1" t="e">
        <f>IF(AND(Table1[[#This Row],[Frequency (GHz)]]&gt;=170,Table1[[#This Row],[Frequency (GHz)]]&lt;260),Plot_Data_Power!F3,#N/A)</f>
        <v>#N/A</v>
      </c>
      <c r="R3" s="1" t="e">
        <f>IF(Table1[[#This Row],[Frequency (GHz)]]&gt;=260,Plot_Data_Power!F3,#N/A)</f>
        <v>#N/A</v>
      </c>
      <c r="U3" s="1" t="e">
        <f>IF(Table1[[#This Row],[Frequency (GHz)]]&lt;20,Plot_Data_Power!G3,#N/A)</f>
        <v>#N/A</v>
      </c>
      <c r="V3" s="1" t="e">
        <f>IF(AND(Table1[[#This Row],[Frequency (GHz)]]&gt;=20,Table1[[#This Row],[Frequency (GHz)]]&lt;50),Plot_Data_Power!G3,#N/A)</f>
        <v>#N/A</v>
      </c>
      <c r="W3" s="1">
        <f>IF(AND(Table1[[#This Row],[Frequency (GHz)]]&gt;=50,Table1[[#This Row],[Frequency (GHz)]]&lt;75),Plot_Data_Power!G3,#N/A)</f>
        <v>34.667985960450174</v>
      </c>
      <c r="X3" s="1" t="e">
        <f>IF(AND(Table1[[#This Row],[Frequency (GHz)]]&gt;=75,Table1[[#This Row],[Frequency (GHz)]]&lt;110),Plot_Data_Power!G3,#N/A)</f>
        <v>#N/A</v>
      </c>
      <c r="Y3" s="1" t="e">
        <f>IF(AND(Table1[[#This Row],[Frequency (GHz)]]&gt;=110,Table1[[#This Row],[Frequency (GHz)]]&lt;170),Plot_Data_Power!G3,#N/A)</f>
        <v>#N/A</v>
      </c>
      <c r="Z3" s="1" t="e">
        <f>IF(AND(Table1[[#This Row],[Frequency (GHz)]]&gt;=170,Table1[[#This Row],[Frequency (GHz)]]&lt;260),Plot_Data_Power!G3,#N/A)</f>
        <v>#N/A</v>
      </c>
      <c r="AA3" s="1" t="e">
        <f>IF(Table1[[#This Row],[Frequency (GHz)]]&gt;=260,Plot_Data_Power!G3,#N/A)</f>
        <v>#N/A</v>
      </c>
      <c r="AD3" s="1" t="e">
        <f>IF(ISNUMBER(Table1[[#This Row],[Max Package Thermal Density (W/cm2)]]),Table1[[#This Row],[Max Package Thermal Density (W/cm2)]],#N/A)</f>
        <v>#N/A</v>
      </c>
      <c r="AE3" s="1" t="e">
        <f>IF(AND(ISNUMBER((Table1[[#This Row],[Max Package Thermal Density (W/cm2)]])),Table1[[#This Row],[Frequency (GHz)]]&lt;20),Table1[[#This Row],[Max Package Thermal Density (W/cm2)]],#N/A)</f>
        <v>#N/A</v>
      </c>
      <c r="AF3" s="1" t="e">
        <f>IF(AND(ISNUMBER(Table1[[#This Row],[Max Package Thermal Density (W/cm2)]]),Table1[[#This Row],[Frequency (GHz)]]&gt;=20,Table1[[#This Row],[Frequency (GHz)]]&lt;50),Table1[[#This Row],[Max Package Thermal Density (W/cm2)]],#N/A)</f>
        <v>#N/A</v>
      </c>
      <c r="AG3" s="1" t="e">
        <f>IF(AND(ISNUMBER(Table1[[#This Row],[Max Package Thermal Density (W/cm2)]]),Table1[[#This Row],[Frequency (GHz)]]&gt;=50,Table1[[#This Row],[Frequency (GHz)]]&lt;75),Table1[[#This Row],[Max Package Thermal Density (W/cm2)]],#N/A)</f>
        <v>#N/A</v>
      </c>
      <c r="AH3" s="1" t="e">
        <f>IF(AND(ISNUMBER(Table1[[#This Row],[Max Package Thermal Density (W/cm2)]]),Table1[[#This Row],[Frequency (GHz)]]&gt;=75,Table1[[#This Row],[Frequency (GHz)]]&lt;110),Table1[[#This Row],[Max Package Thermal Density (W/cm2)]],#N/A)</f>
        <v>#N/A</v>
      </c>
      <c r="AI3" s="1" t="e">
        <f>IF(AND(ISNUMBER(Table1[[#This Row],[Max Package Thermal Density (W/cm2)]]),Table1[[#This Row],[Frequency (GHz)]]&gt;=110,Table1[[#This Row],[Frequency (GHz)]]&lt;170),Table1[[#This Row],[Max Package Thermal Density (W/cm2)]],#N/A)</f>
        <v>#N/A</v>
      </c>
      <c r="AJ3" s="1" t="e">
        <f>IF(AND(ISNUMBER(Table1[[#This Row],[Max Package Thermal Density (W/cm2)]]),Table1[[#This Row],[Frequency (GHz)]]&gt;=170,Table1[[#This Row],[Frequency (GHz)]]&lt;260),Table1[[#This Row],[Max Package Thermal Density (W/cm2)]],#N/A)</f>
        <v>#N/A</v>
      </c>
      <c r="AK3" s="1" t="e">
        <f>IF(AND(ISNUMBER(Table1[[#This Row],[Max Package Thermal Density (W/cm2)]]),Table1[[#This Row],[Frequency (GHz)]]&gt;=260),Table1[[#This Row],[Max Package Thermal Density (W/cm2)]],#N/A)</f>
        <v>#N/A</v>
      </c>
      <c r="AN3" s="1">
        <f>IF(ISNUMBER(Table1[[#This Row],[Max Chip Thermal Density (W/cm2)]]),Table1[[#This Row],[Max Chip Thermal Density (W/cm2)]],#N/A)</f>
        <v>2.504334424966288</v>
      </c>
      <c r="AO3" s="1" t="e">
        <f>IF(AND(ISNUMBER((Table1[[#This Row],[Max Chip Thermal Density (W/cm2)]])),Table1[[#This Row],[Frequency (GHz)]]&lt;20),Table1[[#This Row],[Max Chip Thermal Density (W/cm2)]],#N/A)</f>
        <v>#N/A</v>
      </c>
      <c r="AP3" s="1" t="e">
        <f>IF(AND(ISNUMBER(Table1[[#This Row],[Max Chip Thermal Density (W/cm2)]]),Table1[[#This Row],[Frequency (GHz)]]&gt;=20,Table1[[#This Row],[Frequency (GHz)]]&lt;50),Table1[[#This Row],[Max Chip Thermal Density (W/cm2)]],#N/A)</f>
        <v>#N/A</v>
      </c>
      <c r="AQ3" s="1">
        <f>IF(AND(ISNUMBER(Table1[[#This Row],[Max Chip Thermal Density (W/cm2)]]),Table1[[#This Row],[Frequency (GHz)]]&gt;=50,Table1[[#This Row],[Frequency (GHz)]]&lt;75),Table1[[#This Row],[Max Chip Thermal Density (W/cm2)]],#N/A)</f>
        <v>2.504334424966288</v>
      </c>
      <c r="AR3" s="1" t="e">
        <f>IF(AND(ISNUMBER(Table1[[#This Row],[Max Chip Thermal Density (W/cm2)]]),Table1[[#This Row],[Frequency (GHz)]]&gt;=75,Table1[[#This Row],[Frequency (GHz)]]&lt;110),Table1[[#This Row],[Max Chip Thermal Density (W/cm2)]],#N/A)</f>
        <v>#N/A</v>
      </c>
      <c r="AS3" s="1" t="e">
        <f>IF(AND(ISNUMBER(Table1[[#This Row],[Max Chip Thermal Density (W/cm2)]]),Table1[[#This Row],[Frequency (GHz)]]&gt;=110,Table1[[#This Row],[Frequency (GHz)]]&lt;170),Table1[[#This Row],[Max Chip Thermal Density (W/cm2)]],#N/A)</f>
        <v>#N/A</v>
      </c>
      <c r="AT3" s="1" t="e">
        <f>IF(AND(ISNUMBER(Table1[[#This Row],[Max Chip Thermal Density (W/cm2)]]),Table1[[#This Row],[Frequency (GHz)]]&gt;=170,Table1[[#This Row],[Frequency (GHz)]]&lt;260),Table1[[#This Row],[Max Chip Thermal Density (W/cm2)]],#N/A)</f>
        <v>#N/A</v>
      </c>
      <c r="AU3" s="1" t="e">
        <f>IF(AND(ISNUMBER(Table1[[#This Row],[Max Chip Thermal Density (W/cm2)]]),Table1[[#This Row],[Frequency (GHz)]]&gt;=260),Table1[[#This Row],[Max Chip Thermal Density (W/cm2)]],#N/A)</f>
        <v>#N/A</v>
      </c>
    </row>
    <row r="4" spans="1:47" x14ac:dyDescent="0.2">
      <c r="A4" s="25" t="e">
        <f>IF(ISNUMBER(Table1[[#This Row],[Total Pout/Prad (dBm)]]),Table1[[#This Row],[Total Pout/Prad (dBm)]],#N/A)</f>
        <v>#N/A</v>
      </c>
      <c r="B4" s="1" t="e">
        <f>IF(ISNUMBER(Table1[[#This Row],[Total Pout/Prad (dBm)]]),Table1[[#This Row],[Total '# of TX Elements]],#N/A)</f>
        <v>#N/A</v>
      </c>
      <c r="C4" s="1" t="e">
        <f>IF(ISNUMBER(Table1[[#This Row],[TX EIRP (dBm)]]),Table1[[#This Row],[TX EIRP (dBm)]],#N/A)</f>
        <v>#N/A</v>
      </c>
      <c r="D4" s="1" t="str">
        <f>Table1[[#This Row],[TX Pdc (W)]]</f>
        <v>N/A</v>
      </c>
      <c r="E4"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4" s="1" t="e">
        <f t="shared" si="0"/>
        <v>#N/A</v>
      </c>
      <c r="G4" s="1" t="e">
        <f t="shared" si="1"/>
        <v>#N/A</v>
      </c>
      <c r="L4" s="1" t="e">
        <f>IF(Table1[[#This Row],[Frequency (GHz)]]&lt;20,Plot_Data_Power!F4,#N/A)</f>
        <v>#N/A</v>
      </c>
      <c r="M4" s="1" t="e">
        <f>IF(AND(Table1[[#This Row],[Frequency (GHz)]]&gt;=20,Table1[[#This Row],[Frequency (GHz)]]&lt;50),Plot_Data_Power!F4,#N/A)</f>
        <v>#N/A</v>
      </c>
      <c r="N4" s="1" t="e">
        <f>IF(AND(Table1[[#This Row],[Frequency (GHz)]]&gt;=50,Table1[[#This Row],[Frequency (GHz)]]&lt;75),Plot_Data_Power!F4,#N/A)</f>
        <v>#N/A</v>
      </c>
      <c r="O4" s="1" t="e">
        <f>IF(AND(Table1[[#This Row],[Frequency (GHz)]]&gt;=75,Table1[[#This Row],[Frequency (GHz)]]&lt;110),Plot_Data_Power!F4,#N/A)</f>
        <v>#N/A</v>
      </c>
      <c r="P4" s="1" t="e">
        <f>IF(AND(Table1[[#This Row],[Frequency (GHz)]]&gt;=110,Table1[[#This Row],[Frequency (GHz)]]&lt;170),Plot_Data_Power!F4,#N/A)</f>
        <v>#N/A</v>
      </c>
      <c r="Q4" s="1" t="e">
        <f>IF(AND(Table1[[#This Row],[Frequency (GHz)]]&gt;=170,Table1[[#This Row],[Frequency (GHz)]]&lt;260),Plot_Data_Power!F4,#N/A)</f>
        <v>#N/A</v>
      </c>
      <c r="R4" s="1" t="e">
        <f>IF(Table1[[#This Row],[Frequency (GHz)]]&gt;=260,Plot_Data_Power!F4,#N/A)</f>
        <v>#N/A</v>
      </c>
      <c r="U4" s="1" t="e">
        <f>IF(Table1[[#This Row],[Frequency (GHz)]]&lt;20,Plot_Data_Power!G4,#N/A)</f>
        <v>#N/A</v>
      </c>
      <c r="V4" s="1" t="e">
        <f>IF(AND(Table1[[#This Row],[Frequency (GHz)]]&gt;=20,Table1[[#This Row],[Frequency (GHz)]]&lt;50),Plot_Data_Power!G4,#N/A)</f>
        <v>#N/A</v>
      </c>
      <c r="W4" s="1" t="e">
        <f>IF(AND(Table1[[#This Row],[Frequency (GHz)]]&gt;=50,Table1[[#This Row],[Frequency (GHz)]]&lt;75),Plot_Data_Power!G4,#N/A)</f>
        <v>#N/A</v>
      </c>
      <c r="X4" s="1" t="e">
        <f>IF(AND(Table1[[#This Row],[Frequency (GHz)]]&gt;=75,Table1[[#This Row],[Frequency (GHz)]]&lt;110),Plot_Data_Power!G4,#N/A)</f>
        <v>#N/A</v>
      </c>
      <c r="Y4" s="1" t="e">
        <f>IF(AND(Table1[[#This Row],[Frequency (GHz)]]&gt;=110,Table1[[#This Row],[Frequency (GHz)]]&lt;170),Plot_Data_Power!G4,#N/A)</f>
        <v>#N/A</v>
      </c>
      <c r="Z4" s="1" t="e">
        <f>IF(AND(Table1[[#This Row],[Frequency (GHz)]]&gt;=170,Table1[[#This Row],[Frequency (GHz)]]&lt;260),Plot_Data_Power!G4,#N/A)</f>
        <v>#N/A</v>
      </c>
      <c r="AA4" s="1" t="e">
        <f>IF(Table1[[#This Row],[Frequency (GHz)]]&gt;=260,Plot_Data_Power!G4,#N/A)</f>
        <v>#N/A</v>
      </c>
      <c r="AD4" s="1" t="e">
        <f>IF(ISNUMBER(Table1[[#This Row],[Max Package Thermal Density (W/cm2)]]),Table1[[#This Row],[Max Package Thermal Density (W/cm2)]],#N/A)</f>
        <v>#N/A</v>
      </c>
      <c r="AE4" s="1" t="e">
        <f>IF(AND(ISNUMBER((Table1[[#This Row],[Max Package Thermal Density (W/cm2)]])),Table1[[#This Row],[Frequency (GHz)]]&lt;20),Table1[[#This Row],[Max Package Thermal Density (W/cm2)]],#N/A)</f>
        <v>#N/A</v>
      </c>
      <c r="AF4" s="1" t="e">
        <f>IF(AND(ISNUMBER(Table1[[#This Row],[Max Package Thermal Density (W/cm2)]]),Table1[[#This Row],[Frequency (GHz)]]&gt;=20,Table1[[#This Row],[Frequency (GHz)]]&lt;50),Table1[[#This Row],[Max Package Thermal Density (W/cm2)]],#N/A)</f>
        <v>#N/A</v>
      </c>
      <c r="AG4" s="1" t="e">
        <f>IF(AND(ISNUMBER(Table1[[#This Row],[Max Package Thermal Density (W/cm2)]]),Table1[[#This Row],[Frequency (GHz)]]&gt;=50,Table1[[#This Row],[Frequency (GHz)]]&lt;75),Table1[[#This Row],[Max Package Thermal Density (W/cm2)]],#N/A)</f>
        <v>#N/A</v>
      </c>
      <c r="AH4" s="1" t="e">
        <f>IF(AND(ISNUMBER(Table1[[#This Row],[Max Package Thermal Density (W/cm2)]]),Table1[[#This Row],[Frequency (GHz)]]&gt;=75,Table1[[#This Row],[Frequency (GHz)]]&lt;110),Table1[[#This Row],[Max Package Thermal Density (W/cm2)]],#N/A)</f>
        <v>#N/A</v>
      </c>
      <c r="AI4" s="1" t="e">
        <f>IF(AND(ISNUMBER(Table1[[#This Row],[Max Package Thermal Density (W/cm2)]]),Table1[[#This Row],[Frequency (GHz)]]&gt;=110,Table1[[#This Row],[Frequency (GHz)]]&lt;170),Table1[[#This Row],[Max Package Thermal Density (W/cm2)]],#N/A)</f>
        <v>#N/A</v>
      </c>
      <c r="AJ4" s="1" t="e">
        <f>IF(AND(ISNUMBER(Table1[[#This Row],[Max Package Thermal Density (W/cm2)]]),Table1[[#This Row],[Frequency (GHz)]]&gt;=170,Table1[[#This Row],[Frequency (GHz)]]&lt;260),Table1[[#This Row],[Max Package Thermal Density (W/cm2)]],#N/A)</f>
        <v>#N/A</v>
      </c>
      <c r="AK4" s="1" t="e">
        <f>IF(AND(ISNUMBER(Table1[[#This Row],[Max Package Thermal Density (W/cm2)]]),Table1[[#This Row],[Frequency (GHz)]]&gt;=260),Table1[[#This Row],[Max Package Thermal Density (W/cm2)]],#N/A)</f>
        <v>#N/A</v>
      </c>
      <c r="AN4" s="1">
        <f>IF(ISNUMBER(Table1[[#This Row],[Max Chip Thermal Density (W/cm2)]]),Table1[[#This Row],[Max Chip Thermal Density (W/cm2)]],#N/A)</f>
        <v>1.6201111525859564</v>
      </c>
      <c r="AO4" s="1" t="e">
        <f>IF(AND(ISNUMBER((Table1[[#This Row],[Max Chip Thermal Density (W/cm2)]])),Table1[[#This Row],[Frequency (GHz)]]&lt;20),Table1[[#This Row],[Max Chip Thermal Density (W/cm2)]],#N/A)</f>
        <v>#N/A</v>
      </c>
      <c r="AP4" s="1" t="e">
        <f>IF(AND(ISNUMBER(Table1[[#This Row],[Max Chip Thermal Density (W/cm2)]]),Table1[[#This Row],[Frequency (GHz)]]&gt;=20,Table1[[#This Row],[Frequency (GHz)]]&lt;50),Table1[[#This Row],[Max Chip Thermal Density (W/cm2)]],#N/A)</f>
        <v>#N/A</v>
      </c>
      <c r="AQ4" s="1">
        <f>IF(AND(ISNUMBER(Table1[[#This Row],[Max Chip Thermal Density (W/cm2)]]),Table1[[#This Row],[Frequency (GHz)]]&gt;=50,Table1[[#This Row],[Frequency (GHz)]]&lt;75),Table1[[#This Row],[Max Chip Thermal Density (W/cm2)]],#N/A)</f>
        <v>1.6201111525859564</v>
      </c>
      <c r="AR4" s="1" t="e">
        <f>IF(AND(ISNUMBER(Table1[[#This Row],[Max Chip Thermal Density (W/cm2)]]),Table1[[#This Row],[Frequency (GHz)]]&gt;=75,Table1[[#This Row],[Frequency (GHz)]]&lt;110),Table1[[#This Row],[Max Chip Thermal Density (W/cm2)]],#N/A)</f>
        <v>#N/A</v>
      </c>
      <c r="AS4" s="1" t="e">
        <f>IF(AND(ISNUMBER(Table1[[#This Row],[Max Chip Thermal Density (W/cm2)]]),Table1[[#This Row],[Frequency (GHz)]]&gt;=110,Table1[[#This Row],[Frequency (GHz)]]&lt;170),Table1[[#This Row],[Max Chip Thermal Density (W/cm2)]],#N/A)</f>
        <v>#N/A</v>
      </c>
      <c r="AT4" s="1" t="e">
        <f>IF(AND(ISNUMBER(Table1[[#This Row],[Max Chip Thermal Density (W/cm2)]]),Table1[[#This Row],[Frequency (GHz)]]&gt;=170,Table1[[#This Row],[Frequency (GHz)]]&lt;260),Table1[[#This Row],[Max Chip Thermal Density (W/cm2)]],#N/A)</f>
        <v>#N/A</v>
      </c>
      <c r="AU4" s="1" t="e">
        <f>IF(AND(ISNUMBER(Table1[[#This Row],[Max Chip Thermal Density (W/cm2)]]),Table1[[#This Row],[Frequency (GHz)]]&gt;=260),Table1[[#This Row],[Max Chip Thermal Density (W/cm2)]],#N/A)</f>
        <v>#N/A</v>
      </c>
    </row>
    <row r="5" spans="1:47" x14ac:dyDescent="0.2">
      <c r="A5" s="25" t="e">
        <f>IF(ISNUMBER(Table1[[#This Row],[Total Pout/Prad (dBm)]]),Table1[[#This Row],[Total Pout/Prad (dBm)]],#N/A)</f>
        <v>#N/A</v>
      </c>
      <c r="B5" s="1" t="e">
        <f>IF(ISNUMBER(Table1[[#This Row],[Total Pout/Prad (dBm)]]),Table1[[#This Row],[Total '# of TX Elements]],#N/A)</f>
        <v>#N/A</v>
      </c>
      <c r="C5" s="1" t="e">
        <f>IF(ISNUMBER(Table1[[#This Row],[TX EIRP (dBm)]]),Table1[[#This Row],[TX EIRP (dBm)]],#N/A)</f>
        <v>#N/A</v>
      </c>
      <c r="D5" s="1" t="str">
        <f>Table1[[#This Row],[TX Pdc (W)]]</f>
        <v>N/A</v>
      </c>
      <c r="E5" s="1">
        <f>IF(ISNUMBER(Table1[[#This Row],[Array Aperture Size (cm2)]]),Table1[[#This Row],[Array Aperture Size (cm2)]],IF(Table1[[#This Row],[Antenna on (None, Chip, AiP, PCB)]]="Chip",Table1[[#This Row],[Chip Core Size - X (mm)]]*Table1[[#This Row],[Chip Core Size -Y (mm)]]/100*Table1[[#This Row],['# of IC per Tile]]*Table1[[#This Row],['# of Array Tile]],#N/A))</f>
        <v>7.839999999999999</v>
      </c>
      <c r="F5" s="1" t="e">
        <f t="shared" si="0"/>
        <v>#N/A</v>
      </c>
      <c r="G5" s="1" t="e">
        <f t="shared" si="1"/>
        <v>#N/A</v>
      </c>
      <c r="L5" s="1" t="e">
        <f>IF(Table1[[#This Row],[Frequency (GHz)]]&lt;20,Plot_Data_Power!F5,#N/A)</f>
        <v>#N/A</v>
      </c>
      <c r="M5" s="1" t="e">
        <f>IF(AND(Table1[[#This Row],[Frequency (GHz)]]&gt;=20,Table1[[#This Row],[Frequency (GHz)]]&lt;50),Plot_Data_Power!F5,#N/A)</f>
        <v>#N/A</v>
      </c>
      <c r="N5" s="1" t="e">
        <f>IF(AND(Table1[[#This Row],[Frequency (GHz)]]&gt;=50,Table1[[#This Row],[Frequency (GHz)]]&lt;75),Plot_Data_Power!F5,#N/A)</f>
        <v>#N/A</v>
      </c>
      <c r="O5" s="1" t="e">
        <f>IF(AND(Table1[[#This Row],[Frequency (GHz)]]&gt;=75,Table1[[#This Row],[Frequency (GHz)]]&lt;110),Plot_Data_Power!F5,#N/A)</f>
        <v>#N/A</v>
      </c>
      <c r="P5" s="1" t="e">
        <f>IF(AND(Table1[[#This Row],[Frequency (GHz)]]&gt;=110,Table1[[#This Row],[Frequency (GHz)]]&lt;170),Plot_Data_Power!F5,#N/A)</f>
        <v>#N/A</v>
      </c>
      <c r="Q5" s="1" t="e">
        <f>IF(AND(Table1[[#This Row],[Frequency (GHz)]]&gt;=170,Table1[[#This Row],[Frequency (GHz)]]&lt;260),Plot_Data_Power!F5,#N/A)</f>
        <v>#N/A</v>
      </c>
      <c r="R5" s="1" t="e">
        <f>IF(Table1[[#This Row],[Frequency (GHz)]]&gt;=260,Plot_Data_Power!F5,#N/A)</f>
        <v>#N/A</v>
      </c>
      <c r="U5" s="1" t="e">
        <f>IF(Table1[[#This Row],[Frequency (GHz)]]&lt;20,Plot_Data_Power!G5,#N/A)</f>
        <v>#N/A</v>
      </c>
      <c r="V5" s="1" t="e">
        <f>IF(AND(Table1[[#This Row],[Frequency (GHz)]]&gt;=20,Table1[[#This Row],[Frequency (GHz)]]&lt;50),Plot_Data_Power!G5,#N/A)</f>
        <v>#N/A</v>
      </c>
      <c r="W5" s="1" t="e">
        <f>IF(AND(Table1[[#This Row],[Frequency (GHz)]]&gt;=50,Table1[[#This Row],[Frequency (GHz)]]&lt;75),Plot_Data_Power!G5,#N/A)</f>
        <v>#N/A</v>
      </c>
      <c r="X5" s="1" t="e">
        <f>IF(AND(Table1[[#This Row],[Frequency (GHz)]]&gt;=75,Table1[[#This Row],[Frequency (GHz)]]&lt;110),Plot_Data_Power!G5,#N/A)</f>
        <v>#N/A</v>
      </c>
      <c r="Y5" s="1" t="e">
        <f>IF(AND(Table1[[#This Row],[Frequency (GHz)]]&gt;=110,Table1[[#This Row],[Frequency (GHz)]]&lt;170),Plot_Data_Power!G5,#N/A)</f>
        <v>#N/A</v>
      </c>
      <c r="Z5" s="1" t="e">
        <f>IF(AND(Table1[[#This Row],[Frequency (GHz)]]&gt;=170,Table1[[#This Row],[Frequency (GHz)]]&lt;260),Plot_Data_Power!G5,#N/A)</f>
        <v>#N/A</v>
      </c>
      <c r="AA5" s="1" t="e">
        <f>IF(Table1[[#This Row],[Frequency (GHz)]]&gt;=260,Plot_Data_Power!G5,#N/A)</f>
        <v>#N/A</v>
      </c>
      <c r="AD5" s="1">
        <f>IF(ISNUMBER(Table1[[#This Row],[Max Package Thermal Density (W/cm2)]]),Table1[[#This Row],[Max Package Thermal Density (W/cm2)]],#N/A)</f>
        <v>0.22959183673469391</v>
      </c>
      <c r="AE5" s="1" t="e">
        <f>IF(AND(ISNUMBER((Table1[[#This Row],[Max Package Thermal Density (W/cm2)]])),Table1[[#This Row],[Frequency (GHz)]]&lt;20),Table1[[#This Row],[Max Package Thermal Density (W/cm2)]],#N/A)</f>
        <v>#N/A</v>
      </c>
      <c r="AF5" s="1" t="e">
        <f>IF(AND(ISNUMBER(Table1[[#This Row],[Max Package Thermal Density (W/cm2)]]),Table1[[#This Row],[Frequency (GHz)]]&gt;=20,Table1[[#This Row],[Frequency (GHz)]]&lt;50),Table1[[#This Row],[Max Package Thermal Density (W/cm2)]],#N/A)</f>
        <v>#N/A</v>
      </c>
      <c r="AG5" s="1">
        <f>IF(AND(ISNUMBER(Table1[[#This Row],[Max Package Thermal Density (W/cm2)]]),Table1[[#This Row],[Frequency (GHz)]]&gt;=50,Table1[[#This Row],[Frequency (GHz)]]&lt;75),Table1[[#This Row],[Max Package Thermal Density (W/cm2)]],#N/A)</f>
        <v>0.22959183673469391</v>
      </c>
      <c r="AH5" s="1" t="e">
        <f>IF(AND(ISNUMBER(Table1[[#This Row],[Max Package Thermal Density (W/cm2)]]),Table1[[#This Row],[Frequency (GHz)]]&gt;=75,Table1[[#This Row],[Frequency (GHz)]]&lt;110),Table1[[#This Row],[Max Package Thermal Density (W/cm2)]],#N/A)</f>
        <v>#N/A</v>
      </c>
      <c r="AI5" s="1" t="e">
        <f>IF(AND(ISNUMBER(Table1[[#This Row],[Max Package Thermal Density (W/cm2)]]),Table1[[#This Row],[Frequency (GHz)]]&gt;=110,Table1[[#This Row],[Frequency (GHz)]]&lt;170),Table1[[#This Row],[Max Package Thermal Density (W/cm2)]],#N/A)</f>
        <v>#N/A</v>
      </c>
      <c r="AJ5" s="1" t="e">
        <f>IF(AND(ISNUMBER(Table1[[#This Row],[Max Package Thermal Density (W/cm2)]]),Table1[[#This Row],[Frequency (GHz)]]&gt;=170,Table1[[#This Row],[Frequency (GHz)]]&lt;260),Table1[[#This Row],[Max Package Thermal Density (W/cm2)]],#N/A)</f>
        <v>#N/A</v>
      </c>
      <c r="AK5" s="1" t="e">
        <f>IF(AND(ISNUMBER(Table1[[#This Row],[Max Package Thermal Density (W/cm2)]]),Table1[[#This Row],[Frequency (GHz)]]&gt;=260),Table1[[#This Row],[Max Package Thermal Density (W/cm2)]],#N/A)</f>
        <v>#N/A</v>
      </c>
      <c r="AN5" s="1">
        <f>IF(ISNUMBER(Table1[[#This Row],[Max Chip Thermal Density (W/cm2)]]),Table1[[#This Row],[Max Chip Thermal Density (W/cm2)]],#N/A)</f>
        <v>4.7750424448217306</v>
      </c>
      <c r="AO5" s="1" t="e">
        <f>IF(AND(ISNUMBER((Table1[[#This Row],[Max Chip Thermal Density (W/cm2)]])),Table1[[#This Row],[Frequency (GHz)]]&lt;20),Table1[[#This Row],[Max Chip Thermal Density (W/cm2)]],#N/A)</f>
        <v>#N/A</v>
      </c>
      <c r="AP5" s="1" t="e">
        <f>IF(AND(ISNUMBER(Table1[[#This Row],[Max Chip Thermal Density (W/cm2)]]),Table1[[#This Row],[Frequency (GHz)]]&gt;=20,Table1[[#This Row],[Frequency (GHz)]]&lt;50),Table1[[#This Row],[Max Chip Thermal Density (W/cm2)]],#N/A)</f>
        <v>#N/A</v>
      </c>
      <c r="AQ5" s="1">
        <f>IF(AND(ISNUMBER(Table1[[#This Row],[Max Chip Thermal Density (W/cm2)]]),Table1[[#This Row],[Frequency (GHz)]]&gt;=50,Table1[[#This Row],[Frequency (GHz)]]&lt;75),Table1[[#This Row],[Max Chip Thermal Density (W/cm2)]],#N/A)</f>
        <v>4.7750424448217306</v>
      </c>
      <c r="AR5" s="1" t="e">
        <f>IF(AND(ISNUMBER(Table1[[#This Row],[Max Chip Thermal Density (W/cm2)]]),Table1[[#This Row],[Frequency (GHz)]]&gt;=75,Table1[[#This Row],[Frequency (GHz)]]&lt;110),Table1[[#This Row],[Max Chip Thermal Density (W/cm2)]],#N/A)</f>
        <v>#N/A</v>
      </c>
      <c r="AS5" s="1" t="e">
        <f>IF(AND(ISNUMBER(Table1[[#This Row],[Max Chip Thermal Density (W/cm2)]]),Table1[[#This Row],[Frequency (GHz)]]&gt;=110,Table1[[#This Row],[Frequency (GHz)]]&lt;170),Table1[[#This Row],[Max Chip Thermal Density (W/cm2)]],#N/A)</f>
        <v>#N/A</v>
      </c>
      <c r="AT5" s="1" t="e">
        <f>IF(AND(ISNUMBER(Table1[[#This Row],[Max Chip Thermal Density (W/cm2)]]),Table1[[#This Row],[Frequency (GHz)]]&gt;=170,Table1[[#This Row],[Frequency (GHz)]]&lt;260),Table1[[#This Row],[Max Chip Thermal Density (W/cm2)]],#N/A)</f>
        <v>#N/A</v>
      </c>
      <c r="AU5" s="1" t="e">
        <f>IF(AND(ISNUMBER(Table1[[#This Row],[Max Chip Thermal Density (W/cm2)]]),Table1[[#This Row],[Frequency (GHz)]]&gt;=260),Table1[[#This Row],[Max Chip Thermal Density (W/cm2)]],#N/A)</f>
        <v>#N/A</v>
      </c>
    </row>
    <row r="6" spans="1:47" x14ac:dyDescent="0.2">
      <c r="A6" s="25">
        <f>IF(ISNUMBER(Table1[[#This Row],[Total Pout/Prad (dBm)]]),Table1[[#This Row],[Total Pout/Prad (dBm)]],#N/A)</f>
        <v>12.041199826559248</v>
      </c>
      <c r="B6" s="1">
        <f>IF(ISNUMBER(Table1[[#This Row],[Total Pout/Prad (dBm)]]),Table1[[#This Row],[Total '# of TX Elements]],#N/A)</f>
        <v>16</v>
      </c>
      <c r="C6" s="1" t="e">
        <f>IF(ISNUMBER(Table1[[#This Row],[TX EIRP (dBm)]]),Table1[[#This Row],[TX EIRP (dBm)]],#N/A)</f>
        <v>#N/A</v>
      </c>
      <c r="D6" s="1">
        <f>Table1[[#This Row],[TX Pdc (W)]]</f>
        <v>2.61</v>
      </c>
      <c r="E6" s="1">
        <f>IF(ISNUMBER(Table1[[#This Row],[Array Aperture Size (cm2)]]),Table1[[#This Row],[Array Aperture Size (cm2)]],IF(Table1[[#This Row],[Antenna on (None, Chip, AiP, PCB)]]="Chip",Table1[[#This Row],[Chip Core Size - X (mm)]]*Table1[[#This Row],[Chip Core Size -Y (mm)]]/100*Table1[[#This Row],['# of IC per Tile]]*Table1[[#This Row],['# of Array Tile]],#N/A))</f>
        <v>0.234207</v>
      </c>
      <c r="F6" s="1">
        <f t="shared" si="0"/>
        <v>0.61302681992337194</v>
      </c>
      <c r="G6" s="1" t="e">
        <f t="shared" si="1"/>
        <v>#N/A</v>
      </c>
      <c r="L6" s="1" t="e">
        <f>IF(Table1[[#This Row],[Frequency (GHz)]]&lt;20,Plot_Data_Power!F6,#N/A)</f>
        <v>#N/A</v>
      </c>
      <c r="M6" s="1" t="e">
        <f>IF(AND(Table1[[#This Row],[Frequency (GHz)]]&gt;=20,Table1[[#This Row],[Frequency (GHz)]]&lt;50),Plot_Data_Power!F6,#N/A)</f>
        <v>#N/A</v>
      </c>
      <c r="N6" s="1" t="e">
        <f>IF(AND(Table1[[#This Row],[Frequency (GHz)]]&gt;=50,Table1[[#This Row],[Frequency (GHz)]]&lt;75),Plot_Data_Power!F6,#N/A)</f>
        <v>#N/A</v>
      </c>
      <c r="O6" s="1" t="e">
        <f>IF(AND(Table1[[#This Row],[Frequency (GHz)]]&gt;=75,Table1[[#This Row],[Frequency (GHz)]]&lt;110),Plot_Data_Power!F6,#N/A)</f>
        <v>#N/A</v>
      </c>
      <c r="P6" s="1">
        <f>IF(AND(Table1[[#This Row],[Frequency (GHz)]]&gt;=110,Table1[[#This Row],[Frequency (GHz)]]&lt;170),Plot_Data_Power!F6,#N/A)</f>
        <v>0.61302681992337194</v>
      </c>
      <c r="Q6" s="1" t="e">
        <f>IF(AND(Table1[[#This Row],[Frequency (GHz)]]&gt;=170,Table1[[#This Row],[Frequency (GHz)]]&lt;260),Plot_Data_Power!F6,#N/A)</f>
        <v>#N/A</v>
      </c>
      <c r="R6" s="1" t="e">
        <f>IF(Table1[[#This Row],[Frequency (GHz)]]&gt;=260,Plot_Data_Power!F6,#N/A)</f>
        <v>#N/A</v>
      </c>
      <c r="U6" s="1" t="e">
        <f>IF(Table1[[#This Row],[Frequency (GHz)]]&lt;20,Plot_Data_Power!G6,#N/A)</f>
        <v>#N/A</v>
      </c>
      <c r="V6" s="1" t="e">
        <f>IF(AND(Table1[[#This Row],[Frequency (GHz)]]&gt;=20,Table1[[#This Row],[Frequency (GHz)]]&lt;50),Plot_Data_Power!G6,#N/A)</f>
        <v>#N/A</v>
      </c>
      <c r="W6" s="1" t="e">
        <f>IF(AND(Table1[[#This Row],[Frequency (GHz)]]&gt;=50,Table1[[#This Row],[Frequency (GHz)]]&lt;75),Plot_Data_Power!G6,#N/A)</f>
        <v>#N/A</v>
      </c>
      <c r="X6" s="1" t="e">
        <f>IF(AND(Table1[[#This Row],[Frequency (GHz)]]&gt;=75,Table1[[#This Row],[Frequency (GHz)]]&lt;110),Plot_Data_Power!G6,#N/A)</f>
        <v>#N/A</v>
      </c>
      <c r="Y6" s="1" t="e">
        <f>IF(AND(Table1[[#This Row],[Frequency (GHz)]]&gt;=110,Table1[[#This Row],[Frequency (GHz)]]&lt;170),Plot_Data_Power!G6,#N/A)</f>
        <v>#N/A</v>
      </c>
      <c r="Z6" s="1" t="e">
        <f>IF(AND(Table1[[#This Row],[Frequency (GHz)]]&gt;=170,Table1[[#This Row],[Frequency (GHz)]]&lt;260),Plot_Data_Power!G6,#N/A)</f>
        <v>#N/A</v>
      </c>
      <c r="AA6" s="1" t="e">
        <f>IF(Table1[[#This Row],[Frequency (GHz)]]&gt;=260,Plot_Data_Power!G6,#N/A)</f>
        <v>#N/A</v>
      </c>
      <c r="AD6" s="1">
        <f>IF(ISNUMBER(Table1[[#This Row],[Max Package Thermal Density (W/cm2)]]),Table1[[#This Row],[Max Package Thermal Density (W/cm2)]],#N/A)</f>
        <v>11.143988010606002</v>
      </c>
      <c r="AE6" s="1" t="e">
        <f>IF(AND(ISNUMBER((Table1[[#This Row],[Max Package Thermal Density (W/cm2)]])),Table1[[#This Row],[Frequency (GHz)]]&lt;20),Table1[[#This Row],[Max Package Thermal Density (W/cm2)]],#N/A)</f>
        <v>#N/A</v>
      </c>
      <c r="AF6" s="1" t="e">
        <f>IF(AND(ISNUMBER(Table1[[#This Row],[Max Package Thermal Density (W/cm2)]]),Table1[[#This Row],[Frequency (GHz)]]&gt;=20,Table1[[#This Row],[Frequency (GHz)]]&lt;50),Table1[[#This Row],[Max Package Thermal Density (W/cm2)]],#N/A)</f>
        <v>#N/A</v>
      </c>
      <c r="AG6" s="1" t="e">
        <f>IF(AND(ISNUMBER(Table1[[#This Row],[Max Package Thermal Density (W/cm2)]]),Table1[[#This Row],[Frequency (GHz)]]&gt;=50,Table1[[#This Row],[Frequency (GHz)]]&lt;75),Table1[[#This Row],[Max Package Thermal Density (W/cm2)]],#N/A)</f>
        <v>#N/A</v>
      </c>
      <c r="AH6" s="1" t="e">
        <f>IF(AND(ISNUMBER(Table1[[#This Row],[Max Package Thermal Density (W/cm2)]]),Table1[[#This Row],[Frequency (GHz)]]&gt;=75,Table1[[#This Row],[Frequency (GHz)]]&lt;110),Table1[[#This Row],[Max Package Thermal Density (W/cm2)]],#N/A)</f>
        <v>#N/A</v>
      </c>
      <c r="AI6" s="1">
        <f>IF(AND(ISNUMBER(Table1[[#This Row],[Max Package Thermal Density (W/cm2)]]),Table1[[#This Row],[Frequency (GHz)]]&gt;=110,Table1[[#This Row],[Frequency (GHz)]]&lt;170),Table1[[#This Row],[Max Package Thermal Density (W/cm2)]],#N/A)</f>
        <v>11.143988010606002</v>
      </c>
      <c r="AJ6" s="1" t="e">
        <f>IF(AND(ISNUMBER(Table1[[#This Row],[Max Package Thermal Density (W/cm2)]]),Table1[[#This Row],[Frequency (GHz)]]&gt;=170,Table1[[#This Row],[Frequency (GHz)]]&lt;260),Table1[[#This Row],[Max Package Thermal Density (W/cm2)]],#N/A)</f>
        <v>#N/A</v>
      </c>
      <c r="AK6" s="1" t="e">
        <f>IF(AND(ISNUMBER(Table1[[#This Row],[Max Package Thermal Density (W/cm2)]]),Table1[[#This Row],[Frequency (GHz)]]&gt;=260),Table1[[#This Row],[Max Package Thermal Density (W/cm2)]],#N/A)</f>
        <v>#N/A</v>
      </c>
      <c r="AN6" s="1">
        <f>IF(ISNUMBER(Table1[[#This Row],[Max Chip Thermal Density (W/cm2)]]),Table1[[#This Row],[Max Chip Thermal Density (W/cm2)]],#N/A)</f>
        <v>6.8008598788352543</v>
      </c>
      <c r="AO6" s="1" t="e">
        <f>IF(AND(ISNUMBER((Table1[[#This Row],[Max Chip Thermal Density (W/cm2)]])),Table1[[#This Row],[Frequency (GHz)]]&lt;20),Table1[[#This Row],[Max Chip Thermal Density (W/cm2)]],#N/A)</f>
        <v>#N/A</v>
      </c>
      <c r="AP6" s="1" t="e">
        <f>IF(AND(ISNUMBER(Table1[[#This Row],[Max Chip Thermal Density (W/cm2)]]),Table1[[#This Row],[Frequency (GHz)]]&gt;=20,Table1[[#This Row],[Frequency (GHz)]]&lt;50),Table1[[#This Row],[Max Chip Thermal Density (W/cm2)]],#N/A)</f>
        <v>#N/A</v>
      </c>
      <c r="AQ6" s="1" t="e">
        <f>IF(AND(ISNUMBER(Table1[[#This Row],[Max Chip Thermal Density (W/cm2)]]),Table1[[#This Row],[Frequency (GHz)]]&gt;=50,Table1[[#This Row],[Frequency (GHz)]]&lt;75),Table1[[#This Row],[Max Chip Thermal Density (W/cm2)]],#N/A)</f>
        <v>#N/A</v>
      </c>
      <c r="AR6" s="1" t="e">
        <f>IF(AND(ISNUMBER(Table1[[#This Row],[Max Chip Thermal Density (W/cm2)]]),Table1[[#This Row],[Frequency (GHz)]]&gt;=75,Table1[[#This Row],[Frequency (GHz)]]&lt;110),Table1[[#This Row],[Max Chip Thermal Density (W/cm2)]],#N/A)</f>
        <v>#N/A</v>
      </c>
      <c r="AS6" s="1">
        <f>IF(AND(ISNUMBER(Table1[[#This Row],[Max Chip Thermal Density (W/cm2)]]),Table1[[#This Row],[Frequency (GHz)]]&gt;=110,Table1[[#This Row],[Frequency (GHz)]]&lt;170),Table1[[#This Row],[Max Chip Thermal Density (W/cm2)]],#N/A)</f>
        <v>6.8008598788352543</v>
      </c>
      <c r="AT6" s="1" t="e">
        <f>IF(AND(ISNUMBER(Table1[[#This Row],[Max Chip Thermal Density (W/cm2)]]),Table1[[#This Row],[Frequency (GHz)]]&gt;=170,Table1[[#This Row],[Frequency (GHz)]]&lt;260),Table1[[#This Row],[Max Chip Thermal Density (W/cm2)]],#N/A)</f>
        <v>#N/A</v>
      </c>
      <c r="AU6" s="1" t="e">
        <f>IF(AND(ISNUMBER(Table1[[#This Row],[Max Chip Thermal Density (W/cm2)]]),Table1[[#This Row],[Frequency (GHz)]]&gt;=260),Table1[[#This Row],[Max Chip Thermal Density (W/cm2)]],#N/A)</f>
        <v>#N/A</v>
      </c>
    </row>
    <row r="7" spans="1:47" x14ac:dyDescent="0.2">
      <c r="A7" s="25" t="e">
        <f>IF(ISNUMBER(Table1[[#This Row],[Total Pout/Prad (dBm)]]),Table1[[#This Row],[Total Pout/Prad (dBm)]],#N/A)</f>
        <v>#N/A</v>
      </c>
      <c r="B7" s="1" t="e">
        <f>IF(ISNUMBER(Table1[[#This Row],[Total Pout/Prad (dBm)]]),Table1[[#This Row],[Total '# of TX Elements]],#N/A)</f>
        <v>#N/A</v>
      </c>
      <c r="C7" s="1" t="e">
        <f>IF(ISNUMBER(Table1[[#This Row],[TX EIRP (dBm)]]),Table1[[#This Row],[TX EIRP (dBm)]],#N/A)</f>
        <v>#N/A</v>
      </c>
      <c r="D7" s="1" t="str">
        <f>Table1[[#This Row],[TX Pdc (W)]]</f>
        <v>N/A</v>
      </c>
      <c r="E7" s="1">
        <f>IF(ISNUMBER(Table1[[#This Row],[Array Aperture Size (cm2)]]),Table1[[#This Row],[Array Aperture Size (cm2)]],IF(Table1[[#This Row],[Antenna on (None, Chip, AiP, PCB)]]="Chip",Table1[[#This Row],[Chip Core Size - X (mm)]]*Table1[[#This Row],[Chip Core Size -Y (mm)]]/100*Table1[[#This Row],['# of IC per Tile]]*Table1[[#This Row],['# of Array Tile]],#N/A))</f>
        <v>78.539816339744846</v>
      </c>
      <c r="F7" s="1" t="e">
        <f t="shared" si="0"/>
        <v>#N/A</v>
      </c>
      <c r="G7" s="1" t="e">
        <f t="shared" si="1"/>
        <v>#N/A</v>
      </c>
      <c r="L7" s="1" t="e">
        <f>IF(Table1[[#This Row],[Frequency (GHz)]]&lt;20,Plot_Data_Power!F7,#N/A)</f>
        <v>#N/A</v>
      </c>
      <c r="M7" s="1" t="e">
        <f>IF(AND(Table1[[#This Row],[Frequency (GHz)]]&gt;=20,Table1[[#This Row],[Frequency (GHz)]]&lt;50),Plot_Data_Power!F7,#N/A)</f>
        <v>#N/A</v>
      </c>
      <c r="N7" s="1" t="e">
        <f>IF(AND(Table1[[#This Row],[Frequency (GHz)]]&gt;=50,Table1[[#This Row],[Frequency (GHz)]]&lt;75),Plot_Data_Power!F7,#N/A)</f>
        <v>#N/A</v>
      </c>
      <c r="O7" s="1" t="e">
        <f>IF(AND(Table1[[#This Row],[Frequency (GHz)]]&gt;=75,Table1[[#This Row],[Frequency (GHz)]]&lt;110),Plot_Data_Power!F7,#N/A)</f>
        <v>#N/A</v>
      </c>
      <c r="P7" s="1" t="e">
        <f>IF(AND(Table1[[#This Row],[Frequency (GHz)]]&gt;=110,Table1[[#This Row],[Frequency (GHz)]]&lt;170),Plot_Data_Power!F7,#N/A)</f>
        <v>#N/A</v>
      </c>
      <c r="Q7" s="1" t="e">
        <f>IF(AND(Table1[[#This Row],[Frequency (GHz)]]&gt;=170,Table1[[#This Row],[Frequency (GHz)]]&lt;260),Plot_Data_Power!F7,#N/A)</f>
        <v>#N/A</v>
      </c>
      <c r="R7" s="1" t="e">
        <f>IF(Table1[[#This Row],[Frequency (GHz)]]&gt;=260,Plot_Data_Power!F7,#N/A)</f>
        <v>#N/A</v>
      </c>
      <c r="U7" s="1" t="e">
        <f>IF(Table1[[#This Row],[Frequency (GHz)]]&lt;20,Plot_Data_Power!G7,#N/A)</f>
        <v>#N/A</v>
      </c>
      <c r="V7" s="1" t="e">
        <f>IF(AND(Table1[[#This Row],[Frequency (GHz)]]&gt;=20,Table1[[#This Row],[Frequency (GHz)]]&lt;50),Plot_Data_Power!G7,#N/A)</f>
        <v>#N/A</v>
      </c>
      <c r="W7" s="1" t="e">
        <f>IF(AND(Table1[[#This Row],[Frequency (GHz)]]&gt;=50,Table1[[#This Row],[Frequency (GHz)]]&lt;75),Plot_Data_Power!G7,#N/A)</f>
        <v>#N/A</v>
      </c>
      <c r="X7" s="1" t="e">
        <f>IF(AND(Table1[[#This Row],[Frequency (GHz)]]&gt;=75,Table1[[#This Row],[Frequency (GHz)]]&lt;110),Plot_Data_Power!G7,#N/A)</f>
        <v>#N/A</v>
      </c>
      <c r="Y7" s="1" t="e">
        <f>IF(AND(Table1[[#This Row],[Frequency (GHz)]]&gt;=110,Table1[[#This Row],[Frequency (GHz)]]&lt;170),Plot_Data_Power!G7,#N/A)</f>
        <v>#N/A</v>
      </c>
      <c r="Z7" s="1" t="e">
        <f>IF(AND(Table1[[#This Row],[Frequency (GHz)]]&gt;=170,Table1[[#This Row],[Frequency (GHz)]]&lt;260),Plot_Data_Power!G7,#N/A)</f>
        <v>#N/A</v>
      </c>
      <c r="AA7" s="1" t="e">
        <f>IF(Table1[[#This Row],[Frequency (GHz)]]&gt;=260,Plot_Data_Power!G7,#N/A)</f>
        <v>#N/A</v>
      </c>
      <c r="AD7" s="1" t="e">
        <f>IF(ISNUMBER(Table1[[#This Row],[Max Package Thermal Density (W/cm2)]]),Table1[[#This Row],[Max Package Thermal Density (W/cm2)]],#N/A)</f>
        <v>#N/A</v>
      </c>
      <c r="AE7" s="1" t="e">
        <f>IF(AND(ISNUMBER((Table1[[#This Row],[Max Package Thermal Density (W/cm2)]])),Table1[[#This Row],[Frequency (GHz)]]&lt;20),Table1[[#This Row],[Max Package Thermal Density (W/cm2)]],#N/A)</f>
        <v>#N/A</v>
      </c>
      <c r="AF7" s="1" t="e">
        <f>IF(AND(ISNUMBER(Table1[[#This Row],[Max Package Thermal Density (W/cm2)]]),Table1[[#This Row],[Frequency (GHz)]]&gt;=20,Table1[[#This Row],[Frequency (GHz)]]&lt;50),Table1[[#This Row],[Max Package Thermal Density (W/cm2)]],#N/A)</f>
        <v>#N/A</v>
      </c>
      <c r="AG7" s="1" t="e">
        <f>IF(AND(ISNUMBER(Table1[[#This Row],[Max Package Thermal Density (W/cm2)]]),Table1[[#This Row],[Frequency (GHz)]]&gt;=50,Table1[[#This Row],[Frequency (GHz)]]&lt;75),Table1[[#This Row],[Max Package Thermal Density (W/cm2)]],#N/A)</f>
        <v>#N/A</v>
      </c>
      <c r="AH7" s="1" t="e">
        <f>IF(AND(ISNUMBER(Table1[[#This Row],[Max Package Thermal Density (W/cm2)]]),Table1[[#This Row],[Frequency (GHz)]]&gt;=75,Table1[[#This Row],[Frequency (GHz)]]&lt;110),Table1[[#This Row],[Max Package Thermal Density (W/cm2)]],#N/A)</f>
        <v>#N/A</v>
      </c>
      <c r="AI7" s="1" t="e">
        <f>IF(AND(ISNUMBER(Table1[[#This Row],[Max Package Thermal Density (W/cm2)]]),Table1[[#This Row],[Frequency (GHz)]]&gt;=110,Table1[[#This Row],[Frequency (GHz)]]&lt;170),Table1[[#This Row],[Max Package Thermal Density (W/cm2)]],#N/A)</f>
        <v>#N/A</v>
      </c>
      <c r="AJ7" s="1" t="e">
        <f>IF(AND(ISNUMBER(Table1[[#This Row],[Max Package Thermal Density (W/cm2)]]),Table1[[#This Row],[Frequency (GHz)]]&gt;=170,Table1[[#This Row],[Frequency (GHz)]]&lt;260),Table1[[#This Row],[Max Package Thermal Density (W/cm2)]],#N/A)</f>
        <v>#N/A</v>
      </c>
      <c r="AK7" s="1" t="e">
        <f>IF(AND(ISNUMBER(Table1[[#This Row],[Max Package Thermal Density (W/cm2)]]),Table1[[#This Row],[Frequency (GHz)]]&gt;=260),Table1[[#This Row],[Max Package Thermal Density (W/cm2)]],#N/A)</f>
        <v>#N/A</v>
      </c>
      <c r="AN7" s="1" t="e">
        <f>IF(ISNUMBER(Table1[[#This Row],[Max Chip Thermal Density (W/cm2)]]),Table1[[#This Row],[Max Chip Thermal Density (W/cm2)]],#N/A)</f>
        <v>#N/A</v>
      </c>
      <c r="AO7" s="1" t="e">
        <f>IF(AND(ISNUMBER((Table1[[#This Row],[Max Chip Thermal Density (W/cm2)]])),Table1[[#This Row],[Frequency (GHz)]]&lt;20),Table1[[#This Row],[Max Chip Thermal Density (W/cm2)]],#N/A)</f>
        <v>#N/A</v>
      </c>
      <c r="AP7" s="1" t="e">
        <f>IF(AND(ISNUMBER(Table1[[#This Row],[Max Chip Thermal Density (W/cm2)]]),Table1[[#This Row],[Frequency (GHz)]]&gt;=20,Table1[[#This Row],[Frequency (GHz)]]&lt;50),Table1[[#This Row],[Max Chip Thermal Density (W/cm2)]],#N/A)</f>
        <v>#N/A</v>
      </c>
      <c r="AQ7" s="1" t="e">
        <f>IF(AND(ISNUMBER(Table1[[#This Row],[Max Chip Thermal Density (W/cm2)]]),Table1[[#This Row],[Frequency (GHz)]]&gt;=50,Table1[[#This Row],[Frequency (GHz)]]&lt;75),Table1[[#This Row],[Max Chip Thermal Density (W/cm2)]],#N/A)</f>
        <v>#N/A</v>
      </c>
      <c r="AR7" s="1" t="e">
        <f>IF(AND(ISNUMBER(Table1[[#This Row],[Max Chip Thermal Density (W/cm2)]]),Table1[[#This Row],[Frequency (GHz)]]&gt;=75,Table1[[#This Row],[Frequency (GHz)]]&lt;110),Table1[[#This Row],[Max Chip Thermal Density (W/cm2)]],#N/A)</f>
        <v>#N/A</v>
      </c>
      <c r="AS7" s="1" t="e">
        <f>IF(AND(ISNUMBER(Table1[[#This Row],[Max Chip Thermal Density (W/cm2)]]),Table1[[#This Row],[Frequency (GHz)]]&gt;=110,Table1[[#This Row],[Frequency (GHz)]]&lt;170),Table1[[#This Row],[Max Chip Thermal Density (W/cm2)]],#N/A)</f>
        <v>#N/A</v>
      </c>
      <c r="AT7" s="1" t="e">
        <f>IF(AND(ISNUMBER(Table1[[#This Row],[Max Chip Thermal Density (W/cm2)]]),Table1[[#This Row],[Frequency (GHz)]]&gt;=170,Table1[[#This Row],[Frequency (GHz)]]&lt;260),Table1[[#This Row],[Max Chip Thermal Density (W/cm2)]],#N/A)</f>
        <v>#N/A</v>
      </c>
      <c r="AU7" s="1" t="e">
        <f>IF(AND(ISNUMBER(Table1[[#This Row],[Max Chip Thermal Density (W/cm2)]]),Table1[[#This Row],[Frequency (GHz)]]&gt;=260),Table1[[#This Row],[Max Chip Thermal Density (W/cm2)]],#N/A)</f>
        <v>#N/A</v>
      </c>
    </row>
    <row r="8" spans="1:47" x14ac:dyDescent="0.2">
      <c r="A8" s="25" t="e">
        <f>IF(ISNUMBER(Table1[[#This Row],[Total Pout/Prad (dBm)]]),Table1[[#This Row],[Total Pout/Prad (dBm)]],#N/A)</f>
        <v>#N/A</v>
      </c>
      <c r="B8" s="1" t="e">
        <f>IF(ISNUMBER(Table1[[#This Row],[Total Pout/Prad (dBm)]]),Table1[[#This Row],[Total '# of TX Elements]],#N/A)</f>
        <v>#N/A</v>
      </c>
      <c r="C8" s="1" t="e">
        <f>IF(ISNUMBER(Table1[[#This Row],[TX EIRP (dBm)]]),Table1[[#This Row],[TX EIRP (dBm)]],#N/A)</f>
        <v>#N/A</v>
      </c>
      <c r="D8" s="1" t="str">
        <f>Table1[[#This Row],[TX Pdc (W)]]</f>
        <v>N/A</v>
      </c>
      <c r="E8" s="1">
        <f>IF(ISNUMBER(Table1[[#This Row],[Array Aperture Size (cm2)]]),Table1[[#This Row],[Array Aperture Size (cm2)]],IF(Table1[[#This Row],[Antenna on (None, Chip, AiP, PCB)]]="Chip",Table1[[#This Row],[Chip Core Size - X (mm)]]*Table1[[#This Row],[Chip Core Size -Y (mm)]]/100*Table1[[#This Row],['# of IC per Tile]]*Table1[[#This Row],['# of Array Tile]],#N/A))</f>
        <v>78.539816339744846</v>
      </c>
      <c r="F8" s="1" t="e">
        <f t="shared" si="0"/>
        <v>#N/A</v>
      </c>
      <c r="G8" s="1" t="e">
        <f t="shared" si="1"/>
        <v>#N/A</v>
      </c>
      <c r="L8" s="1" t="e">
        <f>IF(Table1[[#This Row],[Frequency (GHz)]]&lt;20,Plot_Data_Power!F8,#N/A)</f>
        <v>#N/A</v>
      </c>
      <c r="M8" s="1" t="e">
        <f>IF(AND(Table1[[#This Row],[Frequency (GHz)]]&gt;=20,Table1[[#This Row],[Frequency (GHz)]]&lt;50),Plot_Data_Power!F8,#N/A)</f>
        <v>#N/A</v>
      </c>
      <c r="N8" s="1" t="e">
        <f>IF(AND(Table1[[#This Row],[Frequency (GHz)]]&gt;=50,Table1[[#This Row],[Frequency (GHz)]]&lt;75),Plot_Data_Power!F8,#N/A)</f>
        <v>#N/A</v>
      </c>
      <c r="O8" s="1" t="e">
        <f>IF(AND(Table1[[#This Row],[Frequency (GHz)]]&gt;=75,Table1[[#This Row],[Frequency (GHz)]]&lt;110),Plot_Data_Power!F8,#N/A)</f>
        <v>#N/A</v>
      </c>
      <c r="P8" s="1" t="e">
        <f>IF(AND(Table1[[#This Row],[Frequency (GHz)]]&gt;=110,Table1[[#This Row],[Frequency (GHz)]]&lt;170),Plot_Data_Power!F8,#N/A)</f>
        <v>#N/A</v>
      </c>
      <c r="Q8" s="1" t="e">
        <f>IF(AND(Table1[[#This Row],[Frequency (GHz)]]&gt;=170,Table1[[#This Row],[Frequency (GHz)]]&lt;260),Plot_Data_Power!F8,#N/A)</f>
        <v>#N/A</v>
      </c>
      <c r="R8" s="1" t="e">
        <f>IF(Table1[[#This Row],[Frequency (GHz)]]&gt;=260,Plot_Data_Power!F8,#N/A)</f>
        <v>#N/A</v>
      </c>
      <c r="U8" s="1" t="e">
        <f>IF(Table1[[#This Row],[Frequency (GHz)]]&lt;20,Plot_Data_Power!G8,#N/A)</f>
        <v>#N/A</v>
      </c>
      <c r="V8" s="1" t="e">
        <f>IF(AND(Table1[[#This Row],[Frequency (GHz)]]&gt;=20,Table1[[#This Row],[Frequency (GHz)]]&lt;50),Plot_Data_Power!G8,#N/A)</f>
        <v>#N/A</v>
      </c>
      <c r="W8" s="1" t="e">
        <f>IF(AND(Table1[[#This Row],[Frequency (GHz)]]&gt;=50,Table1[[#This Row],[Frequency (GHz)]]&lt;75),Plot_Data_Power!G8,#N/A)</f>
        <v>#N/A</v>
      </c>
      <c r="X8" s="1" t="e">
        <f>IF(AND(Table1[[#This Row],[Frequency (GHz)]]&gt;=75,Table1[[#This Row],[Frequency (GHz)]]&lt;110),Plot_Data_Power!G8,#N/A)</f>
        <v>#N/A</v>
      </c>
      <c r="Y8" s="1" t="e">
        <f>IF(AND(Table1[[#This Row],[Frequency (GHz)]]&gt;=110,Table1[[#This Row],[Frequency (GHz)]]&lt;170),Plot_Data_Power!G8,#N/A)</f>
        <v>#N/A</v>
      </c>
      <c r="Z8" s="1" t="e">
        <f>IF(AND(Table1[[#This Row],[Frequency (GHz)]]&gt;=170,Table1[[#This Row],[Frequency (GHz)]]&lt;260),Plot_Data_Power!G8,#N/A)</f>
        <v>#N/A</v>
      </c>
      <c r="AA8" s="1" t="e">
        <f>IF(Table1[[#This Row],[Frequency (GHz)]]&gt;=260,Plot_Data_Power!G8,#N/A)</f>
        <v>#N/A</v>
      </c>
      <c r="AD8" s="1" t="e">
        <f>IF(ISNUMBER(Table1[[#This Row],[Max Package Thermal Density (W/cm2)]]),Table1[[#This Row],[Max Package Thermal Density (W/cm2)]],#N/A)</f>
        <v>#N/A</v>
      </c>
      <c r="AE8" s="1" t="e">
        <f>IF(AND(ISNUMBER((Table1[[#This Row],[Max Package Thermal Density (W/cm2)]])),Table1[[#This Row],[Frequency (GHz)]]&lt;20),Table1[[#This Row],[Max Package Thermal Density (W/cm2)]],#N/A)</f>
        <v>#N/A</v>
      </c>
      <c r="AF8" s="1" t="e">
        <f>IF(AND(ISNUMBER(Table1[[#This Row],[Max Package Thermal Density (W/cm2)]]),Table1[[#This Row],[Frequency (GHz)]]&gt;=20,Table1[[#This Row],[Frequency (GHz)]]&lt;50),Table1[[#This Row],[Max Package Thermal Density (W/cm2)]],#N/A)</f>
        <v>#N/A</v>
      </c>
      <c r="AG8" s="1" t="e">
        <f>IF(AND(ISNUMBER(Table1[[#This Row],[Max Package Thermal Density (W/cm2)]]),Table1[[#This Row],[Frequency (GHz)]]&gt;=50,Table1[[#This Row],[Frequency (GHz)]]&lt;75),Table1[[#This Row],[Max Package Thermal Density (W/cm2)]],#N/A)</f>
        <v>#N/A</v>
      </c>
      <c r="AH8" s="1" t="e">
        <f>IF(AND(ISNUMBER(Table1[[#This Row],[Max Package Thermal Density (W/cm2)]]),Table1[[#This Row],[Frequency (GHz)]]&gt;=75,Table1[[#This Row],[Frequency (GHz)]]&lt;110),Table1[[#This Row],[Max Package Thermal Density (W/cm2)]],#N/A)</f>
        <v>#N/A</v>
      </c>
      <c r="AI8" s="1" t="e">
        <f>IF(AND(ISNUMBER(Table1[[#This Row],[Max Package Thermal Density (W/cm2)]]),Table1[[#This Row],[Frequency (GHz)]]&gt;=110,Table1[[#This Row],[Frequency (GHz)]]&lt;170),Table1[[#This Row],[Max Package Thermal Density (W/cm2)]],#N/A)</f>
        <v>#N/A</v>
      </c>
      <c r="AJ8" s="1" t="e">
        <f>IF(AND(ISNUMBER(Table1[[#This Row],[Max Package Thermal Density (W/cm2)]]),Table1[[#This Row],[Frequency (GHz)]]&gt;=170,Table1[[#This Row],[Frequency (GHz)]]&lt;260),Table1[[#This Row],[Max Package Thermal Density (W/cm2)]],#N/A)</f>
        <v>#N/A</v>
      </c>
      <c r="AK8" s="1" t="e">
        <f>IF(AND(ISNUMBER(Table1[[#This Row],[Max Package Thermal Density (W/cm2)]]),Table1[[#This Row],[Frequency (GHz)]]&gt;=260),Table1[[#This Row],[Max Package Thermal Density (W/cm2)]],#N/A)</f>
        <v>#N/A</v>
      </c>
      <c r="AN8" s="1" t="e">
        <f>IF(ISNUMBER(Table1[[#This Row],[Max Chip Thermal Density (W/cm2)]]),Table1[[#This Row],[Max Chip Thermal Density (W/cm2)]],#N/A)</f>
        <v>#N/A</v>
      </c>
      <c r="AO8" s="1" t="e">
        <f>IF(AND(ISNUMBER((Table1[[#This Row],[Max Chip Thermal Density (W/cm2)]])),Table1[[#This Row],[Frequency (GHz)]]&lt;20),Table1[[#This Row],[Max Chip Thermal Density (W/cm2)]],#N/A)</f>
        <v>#N/A</v>
      </c>
      <c r="AP8" s="1" t="e">
        <f>IF(AND(ISNUMBER(Table1[[#This Row],[Max Chip Thermal Density (W/cm2)]]),Table1[[#This Row],[Frequency (GHz)]]&gt;=20,Table1[[#This Row],[Frequency (GHz)]]&lt;50),Table1[[#This Row],[Max Chip Thermal Density (W/cm2)]],#N/A)</f>
        <v>#N/A</v>
      </c>
      <c r="AQ8" s="1" t="e">
        <f>IF(AND(ISNUMBER(Table1[[#This Row],[Max Chip Thermal Density (W/cm2)]]),Table1[[#This Row],[Frequency (GHz)]]&gt;=50,Table1[[#This Row],[Frequency (GHz)]]&lt;75),Table1[[#This Row],[Max Chip Thermal Density (W/cm2)]],#N/A)</f>
        <v>#N/A</v>
      </c>
      <c r="AR8" s="1" t="e">
        <f>IF(AND(ISNUMBER(Table1[[#This Row],[Max Chip Thermal Density (W/cm2)]]),Table1[[#This Row],[Frequency (GHz)]]&gt;=75,Table1[[#This Row],[Frequency (GHz)]]&lt;110),Table1[[#This Row],[Max Chip Thermal Density (W/cm2)]],#N/A)</f>
        <v>#N/A</v>
      </c>
      <c r="AS8" s="1" t="e">
        <f>IF(AND(ISNUMBER(Table1[[#This Row],[Max Chip Thermal Density (W/cm2)]]),Table1[[#This Row],[Frequency (GHz)]]&gt;=110,Table1[[#This Row],[Frequency (GHz)]]&lt;170),Table1[[#This Row],[Max Chip Thermal Density (W/cm2)]],#N/A)</f>
        <v>#N/A</v>
      </c>
      <c r="AT8" s="1" t="e">
        <f>IF(AND(ISNUMBER(Table1[[#This Row],[Max Chip Thermal Density (W/cm2)]]),Table1[[#This Row],[Frequency (GHz)]]&gt;=170,Table1[[#This Row],[Frequency (GHz)]]&lt;260),Table1[[#This Row],[Max Chip Thermal Density (W/cm2)]],#N/A)</f>
        <v>#N/A</v>
      </c>
      <c r="AU8" s="1" t="e">
        <f>IF(AND(ISNUMBER(Table1[[#This Row],[Max Chip Thermal Density (W/cm2)]]),Table1[[#This Row],[Frequency (GHz)]]&gt;=260),Table1[[#This Row],[Max Chip Thermal Density (W/cm2)]],#N/A)</f>
        <v>#N/A</v>
      </c>
    </row>
    <row r="9" spans="1:47" x14ac:dyDescent="0.2">
      <c r="A9" s="25" t="e">
        <f>IF(ISNUMBER(Table1[[#This Row],[Total Pout/Prad (dBm)]]),Table1[[#This Row],[Total Pout/Prad (dBm)]],#N/A)</f>
        <v>#N/A</v>
      </c>
      <c r="B9" s="1" t="e">
        <f>IF(ISNUMBER(Table1[[#This Row],[Total Pout/Prad (dBm)]]),Table1[[#This Row],[Total '# of TX Elements]],#N/A)</f>
        <v>#N/A</v>
      </c>
      <c r="C9" s="1" t="e">
        <f>IF(ISNUMBER(Table1[[#This Row],[TX EIRP (dBm)]]),Table1[[#This Row],[TX EIRP (dBm)]],#N/A)</f>
        <v>#N/A</v>
      </c>
      <c r="D9" s="1" t="str">
        <f>Table1[[#This Row],[TX Pdc (W)]]</f>
        <v>N/A</v>
      </c>
      <c r="E9" s="1">
        <f>IF(ISNUMBER(Table1[[#This Row],[Array Aperture Size (cm2)]]),Table1[[#This Row],[Array Aperture Size (cm2)]],IF(Table1[[#This Row],[Antenna on (None, Chip, AiP, PCB)]]="Chip",Table1[[#This Row],[Chip Core Size - X (mm)]]*Table1[[#This Row],[Chip Core Size -Y (mm)]]/100*Table1[[#This Row],['# of IC per Tile]]*Table1[[#This Row],['# of Array Tile]],#N/A))</f>
        <v>824.47957600810525</v>
      </c>
      <c r="F9" s="1" t="e">
        <f t="shared" si="0"/>
        <v>#N/A</v>
      </c>
      <c r="G9" s="1" t="e">
        <f t="shared" si="1"/>
        <v>#N/A</v>
      </c>
      <c r="L9" s="1" t="e">
        <f>IF(Table1[[#This Row],[Frequency (GHz)]]&lt;20,Plot_Data_Power!F9,#N/A)</f>
        <v>#N/A</v>
      </c>
      <c r="M9" s="1" t="e">
        <f>IF(AND(Table1[[#This Row],[Frequency (GHz)]]&gt;=20,Table1[[#This Row],[Frequency (GHz)]]&lt;50),Plot_Data_Power!F9,#N/A)</f>
        <v>#N/A</v>
      </c>
      <c r="N9" s="1" t="e">
        <f>IF(AND(Table1[[#This Row],[Frequency (GHz)]]&gt;=50,Table1[[#This Row],[Frequency (GHz)]]&lt;75),Plot_Data_Power!F9,#N/A)</f>
        <v>#N/A</v>
      </c>
      <c r="O9" s="1" t="e">
        <f>IF(AND(Table1[[#This Row],[Frequency (GHz)]]&gt;=75,Table1[[#This Row],[Frequency (GHz)]]&lt;110),Plot_Data_Power!F9,#N/A)</f>
        <v>#N/A</v>
      </c>
      <c r="P9" s="1" t="e">
        <f>IF(AND(Table1[[#This Row],[Frequency (GHz)]]&gt;=110,Table1[[#This Row],[Frequency (GHz)]]&lt;170),Plot_Data_Power!F9,#N/A)</f>
        <v>#N/A</v>
      </c>
      <c r="Q9" s="1" t="e">
        <f>IF(AND(Table1[[#This Row],[Frequency (GHz)]]&gt;=170,Table1[[#This Row],[Frequency (GHz)]]&lt;260),Plot_Data_Power!F9,#N/A)</f>
        <v>#N/A</v>
      </c>
      <c r="R9" s="1" t="e">
        <f>IF(Table1[[#This Row],[Frequency (GHz)]]&gt;=260,Plot_Data_Power!F9,#N/A)</f>
        <v>#N/A</v>
      </c>
      <c r="U9" s="1" t="e">
        <f>IF(Table1[[#This Row],[Frequency (GHz)]]&lt;20,Plot_Data_Power!G9,#N/A)</f>
        <v>#N/A</v>
      </c>
      <c r="V9" s="1" t="e">
        <f>IF(AND(Table1[[#This Row],[Frequency (GHz)]]&gt;=20,Table1[[#This Row],[Frequency (GHz)]]&lt;50),Plot_Data_Power!G9,#N/A)</f>
        <v>#N/A</v>
      </c>
      <c r="W9" s="1" t="e">
        <f>IF(AND(Table1[[#This Row],[Frequency (GHz)]]&gt;=50,Table1[[#This Row],[Frequency (GHz)]]&lt;75),Plot_Data_Power!G9,#N/A)</f>
        <v>#N/A</v>
      </c>
      <c r="X9" s="1" t="e">
        <f>IF(AND(Table1[[#This Row],[Frequency (GHz)]]&gt;=75,Table1[[#This Row],[Frequency (GHz)]]&lt;110),Plot_Data_Power!G9,#N/A)</f>
        <v>#N/A</v>
      </c>
      <c r="Y9" s="1" t="e">
        <f>IF(AND(Table1[[#This Row],[Frequency (GHz)]]&gt;=110,Table1[[#This Row],[Frequency (GHz)]]&lt;170),Plot_Data_Power!G9,#N/A)</f>
        <v>#N/A</v>
      </c>
      <c r="Z9" s="1" t="e">
        <f>IF(AND(Table1[[#This Row],[Frequency (GHz)]]&gt;=170,Table1[[#This Row],[Frequency (GHz)]]&lt;260),Plot_Data_Power!G9,#N/A)</f>
        <v>#N/A</v>
      </c>
      <c r="AA9" s="1" t="e">
        <f>IF(Table1[[#This Row],[Frequency (GHz)]]&gt;=260,Plot_Data_Power!G9,#N/A)</f>
        <v>#N/A</v>
      </c>
      <c r="AD9" s="1" t="e">
        <f>IF(ISNUMBER(Table1[[#This Row],[Max Package Thermal Density (W/cm2)]]),Table1[[#This Row],[Max Package Thermal Density (W/cm2)]],#N/A)</f>
        <v>#N/A</v>
      </c>
      <c r="AE9" s="1" t="e">
        <f>IF(AND(ISNUMBER((Table1[[#This Row],[Max Package Thermal Density (W/cm2)]])),Table1[[#This Row],[Frequency (GHz)]]&lt;20),Table1[[#This Row],[Max Package Thermal Density (W/cm2)]],#N/A)</f>
        <v>#N/A</v>
      </c>
      <c r="AF9" s="1" t="e">
        <f>IF(AND(ISNUMBER(Table1[[#This Row],[Max Package Thermal Density (W/cm2)]]),Table1[[#This Row],[Frequency (GHz)]]&gt;=20,Table1[[#This Row],[Frequency (GHz)]]&lt;50),Table1[[#This Row],[Max Package Thermal Density (W/cm2)]],#N/A)</f>
        <v>#N/A</v>
      </c>
      <c r="AG9" s="1" t="e">
        <f>IF(AND(ISNUMBER(Table1[[#This Row],[Max Package Thermal Density (W/cm2)]]),Table1[[#This Row],[Frequency (GHz)]]&gt;=50,Table1[[#This Row],[Frequency (GHz)]]&lt;75),Table1[[#This Row],[Max Package Thermal Density (W/cm2)]],#N/A)</f>
        <v>#N/A</v>
      </c>
      <c r="AH9" s="1" t="e">
        <f>IF(AND(ISNUMBER(Table1[[#This Row],[Max Package Thermal Density (W/cm2)]]),Table1[[#This Row],[Frequency (GHz)]]&gt;=75,Table1[[#This Row],[Frequency (GHz)]]&lt;110),Table1[[#This Row],[Max Package Thermal Density (W/cm2)]],#N/A)</f>
        <v>#N/A</v>
      </c>
      <c r="AI9" s="1" t="e">
        <f>IF(AND(ISNUMBER(Table1[[#This Row],[Max Package Thermal Density (W/cm2)]]),Table1[[#This Row],[Frequency (GHz)]]&gt;=110,Table1[[#This Row],[Frequency (GHz)]]&lt;170),Table1[[#This Row],[Max Package Thermal Density (W/cm2)]],#N/A)</f>
        <v>#N/A</v>
      </c>
      <c r="AJ9" s="1" t="e">
        <f>IF(AND(ISNUMBER(Table1[[#This Row],[Max Package Thermal Density (W/cm2)]]),Table1[[#This Row],[Frequency (GHz)]]&gt;=170,Table1[[#This Row],[Frequency (GHz)]]&lt;260),Table1[[#This Row],[Max Package Thermal Density (W/cm2)]],#N/A)</f>
        <v>#N/A</v>
      </c>
      <c r="AK9" s="1" t="e">
        <f>IF(AND(ISNUMBER(Table1[[#This Row],[Max Package Thermal Density (W/cm2)]]),Table1[[#This Row],[Frequency (GHz)]]&gt;=260),Table1[[#This Row],[Max Package Thermal Density (W/cm2)]],#N/A)</f>
        <v>#N/A</v>
      </c>
      <c r="AN9" s="1" t="e">
        <f>IF(ISNUMBER(Table1[[#This Row],[Max Chip Thermal Density (W/cm2)]]),Table1[[#This Row],[Max Chip Thermal Density (W/cm2)]],#N/A)</f>
        <v>#N/A</v>
      </c>
      <c r="AO9" s="1" t="e">
        <f>IF(AND(ISNUMBER((Table1[[#This Row],[Max Chip Thermal Density (W/cm2)]])),Table1[[#This Row],[Frequency (GHz)]]&lt;20),Table1[[#This Row],[Max Chip Thermal Density (W/cm2)]],#N/A)</f>
        <v>#N/A</v>
      </c>
      <c r="AP9" s="1" t="e">
        <f>IF(AND(ISNUMBER(Table1[[#This Row],[Max Chip Thermal Density (W/cm2)]]),Table1[[#This Row],[Frequency (GHz)]]&gt;=20,Table1[[#This Row],[Frequency (GHz)]]&lt;50),Table1[[#This Row],[Max Chip Thermal Density (W/cm2)]],#N/A)</f>
        <v>#N/A</v>
      </c>
      <c r="AQ9" s="1" t="e">
        <f>IF(AND(ISNUMBER(Table1[[#This Row],[Max Chip Thermal Density (W/cm2)]]),Table1[[#This Row],[Frequency (GHz)]]&gt;=50,Table1[[#This Row],[Frequency (GHz)]]&lt;75),Table1[[#This Row],[Max Chip Thermal Density (W/cm2)]],#N/A)</f>
        <v>#N/A</v>
      </c>
      <c r="AR9" s="1" t="e">
        <f>IF(AND(ISNUMBER(Table1[[#This Row],[Max Chip Thermal Density (W/cm2)]]),Table1[[#This Row],[Frequency (GHz)]]&gt;=75,Table1[[#This Row],[Frequency (GHz)]]&lt;110),Table1[[#This Row],[Max Chip Thermal Density (W/cm2)]],#N/A)</f>
        <v>#N/A</v>
      </c>
      <c r="AS9" s="1" t="e">
        <f>IF(AND(ISNUMBER(Table1[[#This Row],[Max Chip Thermal Density (W/cm2)]]),Table1[[#This Row],[Frequency (GHz)]]&gt;=110,Table1[[#This Row],[Frequency (GHz)]]&lt;170),Table1[[#This Row],[Max Chip Thermal Density (W/cm2)]],#N/A)</f>
        <v>#N/A</v>
      </c>
      <c r="AT9" s="1" t="e">
        <f>IF(AND(ISNUMBER(Table1[[#This Row],[Max Chip Thermal Density (W/cm2)]]),Table1[[#This Row],[Frequency (GHz)]]&gt;=170,Table1[[#This Row],[Frequency (GHz)]]&lt;260),Table1[[#This Row],[Max Chip Thermal Density (W/cm2)]],#N/A)</f>
        <v>#N/A</v>
      </c>
      <c r="AU9" s="1" t="e">
        <f>IF(AND(ISNUMBER(Table1[[#This Row],[Max Chip Thermal Density (W/cm2)]]),Table1[[#This Row],[Frequency (GHz)]]&gt;=260),Table1[[#This Row],[Max Chip Thermal Density (W/cm2)]],#N/A)</f>
        <v>#N/A</v>
      </c>
    </row>
    <row r="10" spans="1:47" x14ac:dyDescent="0.2">
      <c r="A10" s="25">
        <f>IF(ISNUMBER(Table1[[#This Row],[Total Pout/Prad (dBm)]]),Table1[[#This Row],[Total Pout/Prad (dBm)]],#N/A)</f>
        <v>15</v>
      </c>
      <c r="B10" s="1">
        <f>IF(ISNUMBER(Table1[[#This Row],[Total Pout/Prad (dBm)]]),Table1[[#This Row],[Total '# of TX Elements]],#N/A)</f>
        <v>32</v>
      </c>
      <c r="C10" s="1">
        <f>IF(ISNUMBER(Table1[[#This Row],[TX EIRP (dBm)]]),Table1[[#This Row],[TX EIRP (dBm)]],#N/A)</f>
        <v>32</v>
      </c>
      <c r="D10" s="1">
        <f>Table1[[#This Row],[TX Pdc (W)]]</f>
        <v>1.2</v>
      </c>
      <c r="E10" s="1">
        <f>IF(ISNUMBER(Table1[[#This Row],[Array Aperture Size (cm2)]]),Table1[[#This Row],[Array Aperture Size (cm2)]],IF(Table1[[#This Row],[Antenna on (None, Chip, AiP, PCB)]]="Chip",Table1[[#This Row],[Chip Core Size - X (mm)]]*Table1[[#This Row],[Chip Core Size -Y (mm)]]/100*Table1[[#This Row],['# of IC per Tile]]*Table1[[#This Row],['# of Array Tile]],#N/A))</f>
        <v>6.25</v>
      </c>
      <c r="F10" s="1">
        <f t="shared" si="0"/>
        <v>2.6352313834736503</v>
      </c>
      <c r="G10" s="1">
        <f t="shared" si="1"/>
        <v>132.07443270509299</v>
      </c>
      <c r="L10" s="1" t="e">
        <f>IF(Table1[[#This Row],[Frequency (GHz)]]&lt;20,Plot_Data_Power!F10,#N/A)</f>
        <v>#N/A</v>
      </c>
      <c r="M10" s="1" t="e">
        <f>IF(AND(Table1[[#This Row],[Frequency (GHz)]]&gt;=20,Table1[[#This Row],[Frequency (GHz)]]&lt;50),Plot_Data_Power!F10,#N/A)</f>
        <v>#N/A</v>
      </c>
      <c r="N10" s="1">
        <f>IF(AND(Table1[[#This Row],[Frequency (GHz)]]&gt;=50,Table1[[#This Row],[Frequency (GHz)]]&lt;75),Plot_Data_Power!F10,#N/A)</f>
        <v>2.6352313834736503</v>
      </c>
      <c r="O10" s="1" t="e">
        <f>IF(AND(Table1[[#This Row],[Frequency (GHz)]]&gt;=75,Table1[[#This Row],[Frequency (GHz)]]&lt;110),Plot_Data_Power!F10,#N/A)</f>
        <v>#N/A</v>
      </c>
      <c r="P10" s="1" t="e">
        <f>IF(AND(Table1[[#This Row],[Frequency (GHz)]]&gt;=110,Table1[[#This Row],[Frequency (GHz)]]&lt;170),Plot_Data_Power!F10,#N/A)</f>
        <v>#N/A</v>
      </c>
      <c r="Q10" s="1" t="e">
        <f>IF(AND(Table1[[#This Row],[Frequency (GHz)]]&gt;=170,Table1[[#This Row],[Frequency (GHz)]]&lt;260),Plot_Data_Power!F10,#N/A)</f>
        <v>#N/A</v>
      </c>
      <c r="R10" s="1" t="e">
        <f>IF(Table1[[#This Row],[Frequency (GHz)]]&gt;=260,Plot_Data_Power!F10,#N/A)</f>
        <v>#N/A</v>
      </c>
      <c r="U10" s="1" t="e">
        <f>IF(Table1[[#This Row],[Frequency (GHz)]]&lt;20,Plot_Data_Power!G10,#N/A)</f>
        <v>#N/A</v>
      </c>
      <c r="V10" s="1" t="e">
        <f>IF(AND(Table1[[#This Row],[Frequency (GHz)]]&gt;=20,Table1[[#This Row],[Frequency (GHz)]]&lt;50),Plot_Data_Power!G10,#N/A)</f>
        <v>#N/A</v>
      </c>
      <c r="W10" s="1">
        <f>IF(AND(Table1[[#This Row],[Frequency (GHz)]]&gt;=50,Table1[[#This Row],[Frequency (GHz)]]&lt;75),Plot_Data_Power!G10,#N/A)</f>
        <v>132.07443270509299</v>
      </c>
      <c r="X10" s="1" t="e">
        <f>IF(AND(Table1[[#This Row],[Frequency (GHz)]]&gt;=75,Table1[[#This Row],[Frequency (GHz)]]&lt;110),Plot_Data_Power!G10,#N/A)</f>
        <v>#N/A</v>
      </c>
      <c r="Y10" s="1" t="e">
        <f>IF(AND(Table1[[#This Row],[Frequency (GHz)]]&gt;=110,Table1[[#This Row],[Frequency (GHz)]]&lt;170),Plot_Data_Power!G10,#N/A)</f>
        <v>#N/A</v>
      </c>
      <c r="Z10" s="1" t="e">
        <f>IF(AND(Table1[[#This Row],[Frequency (GHz)]]&gt;=170,Table1[[#This Row],[Frequency (GHz)]]&lt;260),Plot_Data_Power!G10,#N/A)</f>
        <v>#N/A</v>
      </c>
      <c r="AA10" s="1" t="e">
        <f>IF(Table1[[#This Row],[Frequency (GHz)]]&gt;=260,Plot_Data_Power!G10,#N/A)</f>
        <v>#N/A</v>
      </c>
      <c r="AD10" s="1">
        <f>IF(ISNUMBER(Table1[[#This Row],[Max Package Thermal Density (W/cm2)]]),Table1[[#This Row],[Max Package Thermal Density (W/cm2)]],#N/A)</f>
        <v>0.192</v>
      </c>
      <c r="AE10" s="1" t="e">
        <f>IF(AND(ISNUMBER((Table1[[#This Row],[Max Package Thermal Density (W/cm2)]])),Table1[[#This Row],[Frequency (GHz)]]&lt;20),Table1[[#This Row],[Max Package Thermal Density (W/cm2)]],#N/A)</f>
        <v>#N/A</v>
      </c>
      <c r="AF10" s="1" t="e">
        <f>IF(AND(ISNUMBER(Table1[[#This Row],[Max Package Thermal Density (W/cm2)]]),Table1[[#This Row],[Frequency (GHz)]]&gt;=20,Table1[[#This Row],[Frequency (GHz)]]&lt;50),Table1[[#This Row],[Max Package Thermal Density (W/cm2)]],#N/A)</f>
        <v>#N/A</v>
      </c>
      <c r="AG10" s="1">
        <f>IF(AND(ISNUMBER(Table1[[#This Row],[Max Package Thermal Density (W/cm2)]]),Table1[[#This Row],[Frequency (GHz)]]&gt;=50,Table1[[#This Row],[Frequency (GHz)]]&lt;75),Table1[[#This Row],[Max Package Thermal Density (W/cm2)]],#N/A)</f>
        <v>0.192</v>
      </c>
      <c r="AH10" s="1" t="e">
        <f>IF(AND(ISNUMBER(Table1[[#This Row],[Max Package Thermal Density (W/cm2)]]),Table1[[#This Row],[Frequency (GHz)]]&gt;=75,Table1[[#This Row],[Frequency (GHz)]]&lt;110),Table1[[#This Row],[Max Package Thermal Density (W/cm2)]],#N/A)</f>
        <v>#N/A</v>
      </c>
      <c r="AI10" s="1" t="e">
        <f>IF(AND(ISNUMBER(Table1[[#This Row],[Max Package Thermal Density (W/cm2)]]),Table1[[#This Row],[Frequency (GHz)]]&gt;=110,Table1[[#This Row],[Frequency (GHz)]]&lt;170),Table1[[#This Row],[Max Package Thermal Density (W/cm2)]],#N/A)</f>
        <v>#N/A</v>
      </c>
      <c r="AJ10" s="1" t="e">
        <f>IF(AND(ISNUMBER(Table1[[#This Row],[Max Package Thermal Density (W/cm2)]]),Table1[[#This Row],[Frequency (GHz)]]&gt;=170,Table1[[#This Row],[Frequency (GHz)]]&lt;260),Table1[[#This Row],[Max Package Thermal Density (W/cm2)]],#N/A)</f>
        <v>#N/A</v>
      </c>
      <c r="AK10" s="1" t="e">
        <f>IF(AND(ISNUMBER(Table1[[#This Row],[Max Package Thermal Density (W/cm2)]]),Table1[[#This Row],[Frequency (GHz)]]&gt;=260),Table1[[#This Row],[Max Package Thermal Density (W/cm2)]],#N/A)</f>
        <v>#N/A</v>
      </c>
      <c r="AN10" s="1">
        <f>IF(ISNUMBER(Table1[[#This Row],[Max Chip Thermal Density (W/cm2)]]),Table1[[#This Row],[Max Chip Thermal Density (W/cm2)]],#N/A)</f>
        <v>4.1958041958041949</v>
      </c>
      <c r="AO10" s="1" t="e">
        <f>IF(AND(ISNUMBER((Table1[[#This Row],[Max Chip Thermal Density (W/cm2)]])),Table1[[#This Row],[Frequency (GHz)]]&lt;20),Table1[[#This Row],[Max Chip Thermal Density (W/cm2)]],#N/A)</f>
        <v>#N/A</v>
      </c>
      <c r="AP10" s="1" t="e">
        <f>IF(AND(ISNUMBER(Table1[[#This Row],[Max Chip Thermal Density (W/cm2)]]),Table1[[#This Row],[Frequency (GHz)]]&gt;=20,Table1[[#This Row],[Frequency (GHz)]]&lt;50),Table1[[#This Row],[Max Chip Thermal Density (W/cm2)]],#N/A)</f>
        <v>#N/A</v>
      </c>
      <c r="AQ10" s="1">
        <f>IF(AND(ISNUMBER(Table1[[#This Row],[Max Chip Thermal Density (W/cm2)]]),Table1[[#This Row],[Frequency (GHz)]]&gt;=50,Table1[[#This Row],[Frequency (GHz)]]&lt;75),Table1[[#This Row],[Max Chip Thermal Density (W/cm2)]],#N/A)</f>
        <v>4.1958041958041949</v>
      </c>
      <c r="AR10" s="1" t="e">
        <f>IF(AND(ISNUMBER(Table1[[#This Row],[Max Chip Thermal Density (W/cm2)]]),Table1[[#This Row],[Frequency (GHz)]]&gt;=75,Table1[[#This Row],[Frequency (GHz)]]&lt;110),Table1[[#This Row],[Max Chip Thermal Density (W/cm2)]],#N/A)</f>
        <v>#N/A</v>
      </c>
      <c r="AS10" s="1" t="e">
        <f>IF(AND(ISNUMBER(Table1[[#This Row],[Max Chip Thermal Density (W/cm2)]]),Table1[[#This Row],[Frequency (GHz)]]&gt;=110,Table1[[#This Row],[Frequency (GHz)]]&lt;170),Table1[[#This Row],[Max Chip Thermal Density (W/cm2)]],#N/A)</f>
        <v>#N/A</v>
      </c>
      <c r="AT10" s="1" t="e">
        <f>IF(AND(ISNUMBER(Table1[[#This Row],[Max Chip Thermal Density (W/cm2)]]),Table1[[#This Row],[Frequency (GHz)]]&gt;=170,Table1[[#This Row],[Frequency (GHz)]]&lt;260),Table1[[#This Row],[Max Chip Thermal Density (W/cm2)]],#N/A)</f>
        <v>#N/A</v>
      </c>
      <c r="AU10" s="1" t="e">
        <f>IF(AND(ISNUMBER(Table1[[#This Row],[Max Chip Thermal Density (W/cm2)]]),Table1[[#This Row],[Frequency (GHz)]]&gt;=260),Table1[[#This Row],[Max Chip Thermal Density (W/cm2)]],#N/A)</f>
        <v>#N/A</v>
      </c>
    </row>
    <row r="11" spans="1:47" x14ac:dyDescent="0.2">
      <c r="A11" s="25">
        <f>IF(ISNUMBER(Table1[[#This Row],[Total Pout/Prad (dBm)]]),Table1[[#This Row],[Total Pout/Prad (dBm)]],#N/A)</f>
        <v>20.561799739838872</v>
      </c>
      <c r="B11" s="1">
        <f>IF(ISNUMBER(Table1[[#This Row],[Total Pout/Prad (dBm)]]),Table1[[#This Row],[Total '# of TX Elements]],#N/A)</f>
        <v>64</v>
      </c>
      <c r="C11" s="1" t="e">
        <f>IF(ISNUMBER(Table1[[#This Row],[TX EIRP (dBm)]]),Table1[[#This Row],[TX EIRP (dBm)]],#N/A)</f>
        <v>#N/A</v>
      </c>
      <c r="D11" s="1">
        <f>Table1[[#This Row],[TX Pdc (W)]]</f>
        <v>2.9</v>
      </c>
      <c r="E11" s="1">
        <f>IF(ISNUMBER(Table1[[#This Row],[Array Aperture Size (cm2)]]),Table1[[#This Row],[Array Aperture Size (cm2)]],IF(Table1[[#This Row],[Antenna on (None, Chip, AiP, PCB)]]="Chip",Table1[[#This Row],[Chip Core Size - X (mm)]]*Table1[[#This Row],[Chip Core Size -Y (mm)]]/100*Table1[[#This Row],['# of IC per Tile]]*Table1[[#This Row],['# of Array Tile]],#N/A))</f>
        <v>1.5625</v>
      </c>
      <c r="F11" s="1">
        <f t="shared" si="0"/>
        <v>3.9244786980169333</v>
      </c>
      <c r="G11" s="1" t="e">
        <f t="shared" si="1"/>
        <v>#N/A</v>
      </c>
      <c r="L11" s="1" t="e">
        <f>IF(Table1[[#This Row],[Frequency (GHz)]]&lt;20,Plot_Data_Power!F11,#N/A)</f>
        <v>#N/A</v>
      </c>
      <c r="M11" s="1" t="e">
        <f>IF(AND(Table1[[#This Row],[Frequency (GHz)]]&gt;=20,Table1[[#This Row],[Frequency (GHz)]]&lt;50),Plot_Data_Power!F11,#N/A)</f>
        <v>#N/A</v>
      </c>
      <c r="N11" s="1" t="e">
        <f>IF(AND(Table1[[#This Row],[Frequency (GHz)]]&gt;=50,Table1[[#This Row],[Frequency (GHz)]]&lt;75),Plot_Data_Power!F11,#N/A)</f>
        <v>#N/A</v>
      </c>
      <c r="O11" s="1">
        <f>IF(AND(Table1[[#This Row],[Frequency (GHz)]]&gt;=75,Table1[[#This Row],[Frequency (GHz)]]&lt;110),Plot_Data_Power!F11,#N/A)</f>
        <v>3.9244786980169333</v>
      </c>
      <c r="P11" s="1" t="e">
        <f>IF(AND(Table1[[#This Row],[Frequency (GHz)]]&gt;=110,Table1[[#This Row],[Frequency (GHz)]]&lt;170),Plot_Data_Power!F11,#N/A)</f>
        <v>#N/A</v>
      </c>
      <c r="Q11" s="1" t="e">
        <f>IF(AND(Table1[[#This Row],[Frequency (GHz)]]&gt;=170,Table1[[#This Row],[Frequency (GHz)]]&lt;260),Plot_Data_Power!F11,#N/A)</f>
        <v>#N/A</v>
      </c>
      <c r="R11" s="1" t="e">
        <f>IF(Table1[[#This Row],[Frequency (GHz)]]&gt;=260,Plot_Data_Power!F11,#N/A)</f>
        <v>#N/A</v>
      </c>
      <c r="U11" s="1" t="e">
        <f>IF(Table1[[#This Row],[Frequency (GHz)]]&lt;20,Plot_Data_Power!G11,#N/A)</f>
        <v>#N/A</v>
      </c>
      <c r="V11" s="1" t="e">
        <f>IF(AND(Table1[[#This Row],[Frequency (GHz)]]&gt;=20,Table1[[#This Row],[Frequency (GHz)]]&lt;50),Plot_Data_Power!G11,#N/A)</f>
        <v>#N/A</v>
      </c>
      <c r="W11" s="1" t="e">
        <f>IF(AND(Table1[[#This Row],[Frequency (GHz)]]&gt;=50,Table1[[#This Row],[Frequency (GHz)]]&lt;75),Plot_Data_Power!G11,#N/A)</f>
        <v>#N/A</v>
      </c>
      <c r="X11" s="1" t="e">
        <f>IF(AND(Table1[[#This Row],[Frequency (GHz)]]&gt;=75,Table1[[#This Row],[Frequency (GHz)]]&lt;110),Plot_Data_Power!G11,#N/A)</f>
        <v>#N/A</v>
      </c>
      <c r="Y11" s="1" t="e">
        <f>IF(AND(Table1[[#This Row],[Frequency (GHz)]]&gt;=110,Table1[[#This Row],[Frequency (GHz)]]&lt;170),Plot_Data_Power!G11,#N/A)</f>
        <v>#N/A</v>
      </c>
      <c r="Z11" s="1" t="e">
        <f>IF(AND(Table1[[#This Row],[Frequency (GHz)]]&gt;=170,Table1[[#This Row],[Frequency (GHz)]]&lt;260),Plot_Data_Power!G11,#N/A)</f>
        <v>#N/A</v>
      </c>
      <c r="AA11" s="1" t="e">
        <f>IF(Table1[[#This Row],[Frequency (GHz)]]&gt;=260,Plot_Data_Power!G11,#N/A)</f>
        <v>#N/A</v>
      </c>
      <c r="AD11" s="1">
        <f>IF(ISNUMBER(Table1[[#This Row],[Max Package Thermal Density (W/cm2)]]),Table1[[#This Row],[Max Package Thermal Density (W/cm2)]],#N/A)</f>
        <v>2.1760000000000002</v>
      </c>
      <c r="AE11" s="1" t="e">
        <f>IF(AND(ISNUMBER((Table1[[#This Row],[Max Package Thermal Density (W/cm2)]])),Table1[[#This Row],[Frequency (GHz)]]&lt;20),Table1[[#This Row],[Max Package Thermal Density (W/cm2)]],#N/A)</f>
        <v>#N/A</v>
      </c>
      <c r="AF11" s="1" t="e">
        <f>IF(AND(ISNUMBER(Table1[[#This Row],[Max Package Thermal Density (W/cm2)]]),Table1[[#This Row],[Frequency (GHz)]]&gt;=20,Table1[[#This Row],[Frequency (GHz)]]&lt;50),Table1[[#This Row],[Max Package Thermal Density (W/cm2)]],#N/A)</f>
        <v>#N/A</v>
      </c>
      <c r="AG11" s="1" t="e">
        <f>IF(AND(ISNUMBER(Table1[[#This Row],[Max Package Thermal Density (W/cm2)]]),Table1[[#This Row],[Frequency (GHz)]]&gt;=50,Table1[[#This Row],[Frequency (GHz)]]&lt;75),Table1[[#This Row],[Max Package Thermal Density (W/cm2)]],#N/A)</f>
        <v>#N/A</v>
      </c>
      <c r="AH11" s="1">
        <f>IF(AND(ISNUMBER(Table1[[#This Row],[Max Package Thermal Density (W/cm2)]]),Table1[[#This Row],[Frequency (GHz)]]&gt;=75,Table1[[#This Row],[Frequency (GHz)]]&lt;110),Table1[[#This Row],[Max Package Thermal Density (W/cm2)]],#N/A)</f>
        <v>2.1760000000000002</v>
      </c>
      <c r="AI11" s="1" t="e">
        <f>IF(AND(ISNUMBER(Table1[[#This Row],[Max Package Thermal Density (W/cm2)]]),Table1[[#This Row],[Frequency (GHz)]]&gt;=110,Table1[[#This Row],[Frequency (GHz)]]&lt;170),Table1[[#This Row],[Max Package Thermal Density (W/cm2)]],#N/A)</f>
        <v>#N/A</v>
      </c>
      <c r="AJ11" s="1" t="e">
        <f>IF(AND(ISNUMBER(Table1[[#This Row],[Max Package Thermal Density (W/cm2)]]),Table1[[#This Row],[Frequency (GHz)]]&gt;=170,Table1[[#This Row],[Frequency (GHz)]]&lt;260),Table1[[#This Row],[Max Package Thermal Density (W/cm2)]],#N/A)</f>
        <v>#N/A</v>
      </c>
      <c r="AK11" s="1" t="e">
        <f>IF(AND(ISNUMBER(Table1[[#This Row],[Max Package Thermal Density (W/cm2)]]),Table1[[#This Row],[Frequency (GHz)]]&gt;=260),Table1[[#This Row],[Max Package Thermal Density (W/cm2)]],#N/A)</f>
        <v>#N/A</v>
      </c>
      <c r="AN11" s="1">
        <f>IF(ISNUMBER(Table1[[#This Row],[Max Chip Thermal Density (W/cm2)]]),Table1[[#This Row],[Max Chip Thermal Density (W/cm2)]],#N/A)</f>
        <v>1.9222071460877432</v>
      </c>
      <c r="AO11" s="1" t="e">
        <f>IF(AND(ISNUMBER((Table1[[#This Row],[Max Chip Thermal Density (W/cm2)]])),Table1[[#This Row],[Frequency (GHz)]]&lt;20),Table1[[#This Row],[Max Chip Thermal Density (W/cm2)]],#N/A)</f>
        <v>#N/A</v>
      </c>
      <c r="AP11" s="1" t="e">
        <f>IF(AND(ISNUMBER(Table1[[#This Row],[Max Chip Thermal Density (W/cm2)]]),Table1[[#This Row],[Frequency (GHz)]]&gt;=20,Table1[[#This Row],[Frequency (GHz)]]&lt;50),Table1[[#This Row],[Max Chip Thermal Density (W/cm2)]],#N/A)</f>
        <v>#N/A</v>
      </c>
      <c r="AQ11" s="1" t="e">
        <f>IF(AND(ISNUMBER(Table1[[#This Row],[Max Chip Thermal Density (W/cm2)]]),Table1[[#This Row],[Frequency (GHz)]]&gt;=50,Table1[[#This Row],[Frequency (GHz)]]&lt;75),Table1[[#This Row],[Max Chip Thermal Density (W/cm2)]],#N/A)</f>
        <v>#N/A</v>
      </c>
      <c r="AR11" s="1">
        <f>IF(AND(ISNUMBER(Table1[[#This Row],[Max Chip Thermal Density (W/cm2)]]),Table1[[#This Row],[Frequency (GHz)]]&gt;=75,Table1[[#This Row],[Frequency (GHz)]]&lt;110),Table1[[#This Row],[Max Chip Thermal Density (W/cm2)]],#N/A)</f>
        <v>1.9222071460877432</v>
      </c>
      <c r="AS11" s="1" t="e">
        <f>IF(AND(ISNUMBER(Table1[[#This Row],[Max Chip Thermal Density (W/cm2)]]),Table1[[#This Row],[Frequency (GHz)]]&gt;=110,Table1[[#This Row],[Frequency (GHz)]]&lt;170),Table1[[#This Row],[Max Chip Thermal Density (W/cm2)]],#N/A)</f>
        <v>#N/A</v>
      </c>
      <c r="AT11" s="1" t="e">
        <f>IF(AND(ISNUMBER(Table1[[#This Row],[Max Chip Thermal Density (W/cm2)]]),Table1[[#This Row],[Frequency (GHz)]]&gt;=170,Table1[[#This Row],[Frequency (GHz)]]&lt;260),Table1[[#This Row],[Max Chip Thermal Density (W/cm2)]],#N/A)</f>
        <v>#N/A</v>
      </c>
      <c r="AU11" s="1" t="e">
        <f>IF(AND(ISNUMBER(Table1[[#This Row],[Max Chip Thermal Density (W/cm2)]]),Table1[[#This Row],[Frequency (GHz)]]&gt;=260),Table1[[#This Row],[Max Chip Thermal Density (W/cm2)]],#N/A)</f>
        <v>#N/A</v>
      </c>
    </row>
    <row r="12" spans="1:47" x14ac:dyDescent="0.2">
      <c r="A12" s="25">
        <f>IF(ISNUMBER(Table1[[#This Row],[Total Pout/Prad (dBm)]]),Table1[[#This Row],[Total Pout/Prad (dBm)]],#N/A)</f>
        <v>7.0411998265592484</v>
      </c>
      <c r="B12" s="1">
        <f>IF(ISNUMBER(Table1[[#This Row],[Total Pout/Prad (dBm)]]),Table1[[#This Row],[Total '# of TX Elements]],#N/A)</f>
        <v>16</v>
      </c>
      <c r="C12" s="1" t="e">
        <f>IF(ISNUMBER(Table1[[#This Row],[TX EIRP (dBm)]]),Table1[[#This Row],[TX EIRP (dBm)]],#N/A)</f>
        <v>#N/A</v>
      </c>
      <c r="D12" s="1">
        <f>Table1[[#This Row],[TX Pdc (W)]]</f>
        <v>2.2000000000000002</v>
      </c>
      <c r="E12"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2" s="1">
        <f t="shared" si="0"/>
        <v>0.22998382983042762</v>
      </c>
      <c r="G12" s="1" t="e">
        <f t="shared" si="1"/>
        <v>#N/A</v>
      </c>
      <c r="L12" s="1" t="e">
        <f>IF(Table1[[#This Row],[Frequency (GHz)]]&lt;20,Plot_Data_Power!F12,#N/A)</f>
        <v>#N/A</v>
      </c>
      <c r="M12" s="1" t="e">
        <f>IF(AND(Table1[[#This Row],[Frequency (GHz)]]&gt;=20,Table1[[#This Row],[Frequency (GHz)]]&lt;50),Plot_Data_Power!F12,#N/A)</f>
        <v>#N/A</v>
      </c>
      <c r="N12" s="1" t="e">
        <f>IF(AND(Table1[[#This Row],[Frequency (GHz)]]&gt;=50,Table1[[#This Row],[Frequency (GHz)]]&lt;75),Plot_Data_Power!F12,#N/A)</f>
        <v>#N/A</v>
      </c>
      <c r="O12" s="1">
        <f>IF(AND(Table1[[#This Row],[Frequency (GHz)]]&gt;=75,Table1[[#This Row],[Frequency (GHz)]]&lt;110),Plot_Data_Power!F12,#N/A)</f>
        <v>0.22998382983042762</v>
      </c>
      <c r="P12" s="1" t="e">
        <f>IF(AND(Table1[[#This Row],[Frequency (GHz)]]&gt;=110,Table1[[#This Row],[Frequency (GHz)]]&lt;170),Plot_Data_Power!F12,#N/A)</f>
        <v>#N/A</v>
      </c>
      <c r="Q12" s="1" t="e">
        <f>IF(AND(Table1[[#This Row],[Frequency (GHz)]]&gt;=170,Table1[[#This Row],[Frequency (GHz)]]&lt;260),Plot_Data_Power!F12,#N/A)</f>
        <v>#N/A</v>
      </c>
      <c r="R12" s="1" t="e">
        <f>IF(Table1[[#This Row],[Frequency (GHz)]]&gt;=260,Plot_Data_Power!F12,#N/A)</f>
        <v>#N/A</v>
      </c>
      <c r="U12" s="1" t="e">
        <f>IF(Table1[[#This Row],[Frequency (GHz)]]&lt;20,Plot_Data_Power!G12,#N/A)</f>
        <v>#N/A</v>
      </c>
      <c r="V12" s="1" t="e">
        <f>IF(AND(Table1[[#This Row],[Frequency (GHz)]]&gt;=20,Table1[[#This Row],[Frequency (GHz)]]&lt;50),Plot_Data_Power!G12,#N/A)</f>
        <v>#N/A</v>
      </c>
      <c r="W12" s="1" t="e">
        <f>IF(AND(Table1[[#This Row],[Frequency (GHz)]]&gt;=50,Table1[[#This Row],[Frequency (GHz)]]&lt;75),Plot_Data_Power!G12,#N/A)</f>
        <v>#N/A</v>
      </c>
      <c r="X12" s="1" t="e">
        <f>IF(AND(Table1[[#This Row],[Frequency (GHz)]]&gt;=75,Table1[[#This Row],[Frequency (GHz)]]&lt;110),Plot_Data_Power!G12,#N/A)</f>
        <v>#N/A</v>
      </c>
      <c r="Y12" s="1" t="e">
        <f>IF(AND(Table1[[#This Row],[Frequency (GHz)]]&gt;=110,Table1[[#This Row],[Frequency (GHz)]]&lt;170),Plot_Data_Power!G12,#N/A)</f>
        <v>#N/A</v>
      </c>
      <c r="Z12" s="1" t="e">
        <f>IF(AND(Table1[[#This Row],[Frequency (GHz)]]&gt;=170,Table1[[#This Row],[Frequency (GHz)]]&lt;260),Plot_Data_Power!G12,#N/A)</f>
        <v>#N/A</v>
      </c>
      <c r="AA12" s="1" t="e">
        <f>IF(Table1[[#This Row],[Frequency (GHz)]]&gt;=260,Plot_Data_Power!G12,#N/A)</f>
        <v>#N/A</v>
      </c>
      <c r="AD12" s="1" t="e">
        <f>IF(ISNUMBER(Table1[[#This Row],[Max Package Thermal Density (W/cm2)]]),Table1[[#This Row],[Max Package Thermal Density (W/cm2)]],#N/A)</f>
        <v>#N/A</v>
      </c>
      <c r="AE12" s="1" t="e">
        <f>IF(AND(ISNUMBER((Table1[[#This Row],[Max Package Thermal Density (W/cm2)]])),Table1[[#This Row],[Frequency (GHz)]]&lt;20),Table1[[#This Row],[Max Package Thermal Density (W/cm2)]],#N/A)</f>
        <v>#N/A</v>
      </c>
      <c r="AF12" s="1" t="e">
        <f>IF(AND(ISNUMBER(Table1[[#This Row],[Max Package Thermal Density (W/cm2)]]),Table1[[#This Row],[Frequency (GHz)]]&gt;=20,Table1[[#This Row],[Frequency (GHz)]]&lt;50),Table1[[#This Row],[Max Package Thermal Density (W/cm2)]],#N/A)</f>
        <v>#N/A</v>
      </c>
      <c r="AG12" s="1" t="e">
        <f>IF(AND(ISNUMBER(Table1[[#This Row],[Max Package Thermal Density (W/cm2)]]),Table1[[#This Row],[Frequency (GHz)]]&gt;=50,Table1[[#This Row],[Frequency (GHz)]]&lt;75),Table1[[#This Row],[Max Package Thermal Density (W/cm2)]],#N/A)</f>
        <v>#N/A</v>
      </c>
      <c r="AH12" s="1" t="e">
        <f>IF(AND(ISNUMBER(Table1[[#This Row],[Max Package Thermal Density (W/cm2)]]),Table1[[#This Row],[Frequency (GHz)]]&gt;=75,Table1[[#This Row],[Frequency (GHz)]]&lt;110),Table1[[#This Row],[Max Package Thermal Density (W/cm2)]],#N/A)</f>
        <v>#N/A</v>
      </c>
      <c r="AI12" s="1" t="e">
        <f>IF(AND(ISNUMBER(Table1[[#This Row],[Max Package Thermal Density (W/cm2)]]),Table1[[#This Row],[Frequency (GHz)]]&gt;=110,Table1[[#This Row],[Frequency (GHz)]]&lt;170),Table1[[#This Row],[Max Package Thermal Density (W/cm2)]],#N/A)</f>
        <v>#N/A</v>
      </c>
      <c r="AJ12" s="1" t="e">
        <f>IF(AND(ISNUMBER(Table1[[#This Row],[Max Package Thermal Density (W/cm2)]]),Table1[[#This Row],[Frequency (GHz)]]&gt;=170,Table1[[#This Row],[Frequency (GHz)]]&lt;260),Table1[[#This Row],[Max Package Thermal Density (W/cm2)]],#N/A)</f>
        <v>#N/A</v>
      </c>
      <c r="AK12" s="1" t="e">
        <f>IF(AND(ISNUMBER(Table1[[#This Row],[Max Package Thermal Density (W/cm2)]]),Table1[[#This Row],[Frequency (GHz)]]&gt;=260),Table1[[#This Row],[Max Package Thermal Density (W/cm2)]],#N/A)</f>
        <v>#N/A</v>
      </c>
      <c r="AN12" s="1">
        <f>IF(ISNUMBER(Table1[[#This Row],[Max Chip Thermal Density (W/cm2)]]),Table1[[#This Row],[Max Chip Thermal Density (W/cm2)]],#N/A)</f>
        <v>5.649717514124295</v>
      </c>
      <c r="AO12" s="1" t="e">
        <f>IF(AND(ISNUMBER((Table1[[#This Row],[Max Chip Thermal Density (W/cm2)]])),Table1[[#This Row],[Frequency (GHz)]]&lt;20),Table1[[#This Row],[Max Chip Thermal Density (W/cm2)]],#N/A)</f>
        <v>#N/A</v>
      </c>
      <c r="AP12" s="1" t="e">
        <f>IF(AND(ISNUMBER(Table1[[#This Row],[Max Chip Thermal Density (W/cm2)]]),Table1[[#This Row],[Frequency (GHz)]]&gt;=20,Table1[[#This Row],[Frequency (GHz)]]&lt;50),Table1[[#This Row],[Max Chip Thermal Density (W/cm2)]],#N/A)</f>
        <v>#N/A</v>
      </c>
      <c r="AQ12" s="1" t="e">
        <f>IF(AND(ISNUMBER(Table1[[#This Row],[Max Chip Thermal Density (W/cm2)]]),Table1[[#This Row],[Frequency (GHz)]]&gt;=50,Table1[[#This Row],[Frequency (GHz)]]&lt;75),Table1[[#This Row],[Max Chip Thermal Density (W/cm2)]],#N/A)</f>
        <v>#N/A</v>
      </c>
      <c r="AR12" s="1">
        <f>IF(AND(ISNUMBER(Table1[[#This Row],[Max Chip Thermal Density (W/cm2)]]),Table1[[#This Row],[Frequency (GHz)]]&gt;=75,Table1[[#This Row],[Frequency (GHz)]]&lt;110),Table1[[#This Row],[Max Chip Thermal Density (W/cm2)]],#N/A)</f>
        <v>5.649717514124295</v>
      </c>
      <c r="AS12" s="1" t="e">
        <f>IF(AND(ISNUMBER(Table1[[#This Row],[Max Chip Thermal Density (W/cm2)]]),Table1[[#This Row],[Frequency (GHz)]]&gt;=110,Table1[[#This Row],[Frequency (GHz)]]&lt;170),Table1[[#This Row],[Max Chip Thermal Density (W/cm2)]],#N/A)</f>
        <v>#N/A</v>
      </c>
      <c r="AT12" s="1" t="e">
        <f>IF(AND(ISNUMBER(Table1[[#This Row],[Max Chip Thermal Density (W/cm2)]]),Table1[[#This Row],[Frequency (GHz)]]&gt;=170,Table1[[#This Row],[Frequency (GHz)]]&lt;260),Table1[[#This Row],[Max Chip Thermal Density (W/cm2)]],#N/A)</f>
        <v>#N/A</v>
      </c>
      <c r="AU12" s="1" t="e">
        <f>IF(AND(ISNUMBER(Table1[[#This Row],[Max Chip Thermal Density (W/cm2)]]),Table1[[#This Row],[Frequency (GHz)]]&gt;=260),Table1[[#This Row],[Max Chip Thermal Density (W/cm2)]],#N/A)</f>
        <v>#N/A</v>
      </c>
    </row>
    <row r="13" spans="1:47" x14ac:dyDescent="0.2">
      <c r="A13" s="25" t="e">
        <f>IF(ISNUMBER(Table1[[#This Row],[Total Pout/Prad (dBm)]]),Table1[[#This Row],[Total Pout/Prad (dBm)]],#N/A)</f>
        <v>#N/A</v>
      </c>
      <c r="B13" s="1" t="e">
        <f>IF(ISNUMBER(Table1[[#This Row],[Total Pout/Prad (dBm)]]),Table1[[#This Row],[Total '# of TX Elements]],#N/A)</f>
        <v>#N/A</v>
      </c>
      <c r="C13" s="1" t="e">
        <f>IF(ISNUMBER(Table1[[#This Row],[TX EIRP (dBm)]]),Table1[[#This Row],[TX EIRP (dBm)]],#N/A)</f>
        <v>#N/A</v>
      </c>
      <c r="D13" s="1" t="str">
        <f>Table1[[#This Row],[TX Pdc (W)]]</f>
        <v>N/A</v>
      </c>
      <c r="E13" s="1">
        <f>IF(ISNUMBER(Table1[[#This Row],[Array Aperture Size (cm2)]]),Table1[[#This Row],[Array Aperture Size (cm2)]],IF(Table1[[#This Row],[Antenna on (None, Chip, AiP, PCB)]]="Chip",Table1[[#This Row],[Chip Core Size - X (mm)]]*Table1[[#This Row],[Chip Core Size -Y (mm)]]/100*Table1[[#This Row],['# of IC per Tile]]*Table1[[#This Row],['# of Array Tile]],#N/A))</f>
        <v>400</v>
      </c>
      <c r="F13" s="1" t="e">
        <f t="shared" si="0"/>
        <v>#N/A</v>
      </c>
      <c r="G13" s="1" t="e">
        <f t="shared" si="1"/>
        <v>#N/A</v>
      </c>
      <c r="L13" s="1" t="e">
        <f>IF(Table1[[#This Row],[Frequency (GHz)]]&lt;20,Plot_Data_Power!F13,#N/A)</f>
        <v>#N/A</v>
      </c>
      <c r="M13" s="1" t="e">
        <f>IF(AND(Table1[[#This Row],[Frequency (GHz)]]&gt;=20,Table1[[#This Row],[Frequency (GHz)]]&lt;50),Plot_Data_Power!F13,#N/A)</f>
        <v>#N/A</v>
      </c>
      <c r="N13" s="1" t="e">
        <f>IF(AND(Table1[[#This Row],[Frequency (GHz)]]&gt;=50,Table1[[#This Row],[Frequency (GHz)]]&lt;75),Plot_Data_Power!F13,#N/A)</f>
        <v>#N/A</v>
      </c>
      <c r="O13" s="1" t="e">
        <f>IF(AND(Table1[[#This Row],[Frequency (GHz)]]&gt;=75,Table1[[#This Row],[Frequency (GHz)]]&lt;110),Plot_Data_Power!F13,#N/A)</f>
        <v>#N/A</v>
      </c>
      <c r="P13" s="1" t="e">
        <f>IF(AND(Table1[[#This Row],[Frequency (GHz)]]&gt;=110,Table1[[#This Row],[Frequency (GHz)]]&lt;170),Plot_Data_Power!F13,#N/A)</f>
        <v>#N/A</v>
      </c>
      <c r="Q13" s="1" t="e">
        <f>IF(AND(Table1[[#This Row],[Frequency (GHz)]]&gt;=170,Table1[[#This Row],[Frequency (GHz)]]&lt;260),Plot_Data_Power!F13,#N/A)</f>
        <v>#N/A</v>
      </c>
      <c r="R13" s="1" t="e">
        <f>IF(Table1[[#This Row],[Frequency (GHz)]]&gt;=260,Plot_Data_Power!F13,#N/A)</f>
        <v>#N/A</v>
      </c>
      <c r="U13" s="1" t="e">
        <f>IF(Table1[[#This Row],[Frequency (GHz)]]&lt;20,Plot_Data_Power!G13,#N/A)</f>
        <v>#N/A</v>
      </c>
      <c r="V13" s="1" t="e">
        <f>IF(AND(Table1[[#This Row],[Frequency (GHz)]]&gt;=20,Table1[[#This Row],[Frequency (GHz)]]&lt;50),Plot_Data_Power!G13,#N/A)</f>
        <v>#N/A</v>
      </c>
      <c r="W13" s="1" t="e">
        <f>IF(AND(Table1[[#This Row],[Frequency (GHz)]]&gt;=50,Table1[[#This Row],[Frequency (GHz)]]&lt;75),Plot_Data_Power!G13,#N/A)</f>
        <v>#N/A</v>
      </c>
      <c r="X13" s="1" t="e">
        <f>IF(AND(Table1[[#This Row],[Frequency (GHz)]]&gt;=75,Table1[[#This Row],[Frequency (GHz)]]&lt;110),Plot_Data_Power!G13,#N/A)</f>
        <v>#N/A</v>
      </c>
      <c r="Y13" s="1" t="e">
        <f>IF(AND(Table1[[#This Row],[Frequency (GHz)]]&gt;=110,Table1[[#This Row],[Frequency (GHz)]]&lt;170),Plot_Data_Power!G13,#N/A)</f>
        <v>#N/A</v>
      </c>
      <c r="Z13" s="1" t="e">
        <f>IF(AND(Table1[[#This Row],[Frequency (GHz)]]&gt;=170,Table1[[#This Row],[Frequency (GHz)]]&lt;260),Plot_Data_Power!G13,#N/A)</f>
        <v>#N/A</v>
      </c>
      <c r="AA13" s="1" t="e">
        <f>IF(Table1[[#This Row],[Frequency (GHz)]]&gt;=260,Plot_Data_Power!G13,#N/A)</f>
        <v>#N/A</v>
      </c>
      <c r="AD13" s="1" t="e">
        <f>IF(ISNUMBER(Table1[[#This Row],[Max Package Thermal Density (W/cm2)]]),Table1[[#This Row],[Max Package Thermal Density (W/cm2)]],#N/A)</f>
        <v>#N/A</v>
      </c>
      <c r="AE13" s="1" t="e">
        <f>IF(AND(ISNUMBER((Table1[[#This Row],[Max Package Thermal Density (W/cm2)]])),Table1[[#This Row],[Frequency (GHz)]]&lt;20),Table1[[#This Row],[Max Package Thermal Density (W/cm2)]],#N/A)</f>
        <v>#N/A</v>
      </c>
      <c r="AF13" s="1" t="e">
        <f>IF(AND(ISNUMBER(Table1[[#This Row],[Max Package Thermal Density (W/cm2)]]),Table1[[#This Row],[Frequency (GHz)]]&gt;=20,Table1[[#This Row],[Frequency (GHz)]]&lt;50),Table1[[#This Row],[Max Package Thermal Density (W/cm2)]],#N/A)</f>
        <v>#N/A</v>
      </c>
      <c r="AG13" s="1" t="e">
        <f>IF(AND(ISNUMBER(Table1[[#This Row],[Max Package Thermal Density (W/cm2)]]),Table1[[#This Row],[Frequency (GHz)]]&gt;=50,Table1[[#This Row],[Frequency (GHz)]]&lt;75),Table1[[#This Row],[Max Package Thermal Density (W/cm2)]],#N/A)</f>
        <v>#N/A</v>
      </c>
      <c r="AH13" s="1" t="e">
        <f>IF(AND(ISNUMBER(Table1[[#This Row],[Max Package Thermal Density (W/cm2)]]),Table1[[#This Row],[Frequency (GHz)]]&gt;=75,Table1[[#This Row],[Frequency (GHz)]]&lt;110),Table1[[#This Row],[Max Package Thermal Density (W/cm2)]],#N/A)</f>
        <v>#N/A</v>
      </c>
      <c r="AI13" s="1" t="e">
        <f>IF(AND(ISNUMBER(Table1[[#This Row],[Max Package Thermal Density (W/cm2)]]),Table1[[#This Row],[Frequency (GHz)]]&gt;=110,Table1[[#This Row],[Frequency (GHz)]]&lt;170),Table1[[#This Row],[Max Package Thermal Density (W/cm2)]],#N/A)</f>
        <v>#N/A</v>
      </c>
      <c r="AJ13" s="1" t="e">
        <f>IF(AND(ISNUMBER(Table1[[#This Row],[Max Package Thermal Density (W/cm2)]]),Table1[[#This Row],[Frequency (GHz)]]&gt;=170,Table1[[#This Row],[Frequency (GHz)]]&lt;260),Table1[[#This Row],[Max Package Thermal Density (W/cm2)]],#N/A)</f>
        <v>#N/A</v>
      </c>
      <c r="AK13" s="1" t="e">
        <f>IF(AND(ISNUMBER(Table1[[#This Row],[Max Package Thermal Density (W/cm2)]]),Table1[[#This Row],[Frequency (GHz)]]&gt;=260),Table1[[#This Row],[Max Package Thermal Density (W/cm2)]],#N/A)</f>
        <v>#N/A</v>
      </c>
      <c r="AN13" s="1" t="e">
        <f>IF(ISNUMBER(Table1[[#This Row],[Max Chip Thermal Density (W/cm2)]]),Table1[[#This Row],[Max Chip Thermal Density (W/cm2)]],#N/A)</f>
        <v>#N/A</v>
      </c>
      <c r="AO13" s="1" t="e">
        <f>IF(AND(ISNUMBER((Table1[[#This Row],[Max Chip Thermal Density (W/cm2)]])),Table1[[#This Row],[Frequency (GHz)]]&lt;20),Table1[[#This Row],[Max Chip Thermal Density (W/cm2)]],#N/A)</f>
        <v>#N/A</v>
      </c>
      <c r="AP13" s="1" t="e">
        <f>IF(AND(ISNUMBER(Table1[[#This Row],[Max Chip Thermal Density (W/cm2)]]),Table1[[#This Row],[Frequency (GHz)]]&gt;=20,Table1[[#This Row],[Frequency (GHz)]]&lt;50),Table1[[#This Row],[Max Chip Thermal Density (W/cm2)]],#N/A)</f>
        <v>#N/A</v>
      </c>
      <c r="AQ13" s="1" t="e">
        <f>IF(AND(ISNUMBER(Table1[[#This Row],[Max Chip Thermal Density (W/cm2)]]),Table1[[#This Row],[Frequency (GHz)]]&gt;=50,Table1[[#This Row],[Frequency (GHz)]]&lt;75),Table1[[#This Row],[Max Chip Thermal Density (W/cm2)]],#N/A)</f>
        <v>#N/A</v>
      </c>
      <c r="AR13" s="1" t="e">
        <f>IF(AND(ISNUMBER(Table1[[#This Row],[Max Chip Thermal Density (W/cm2)]]),Table1[[#This Row],[Frequency (GHz)]]&gt;=75,Table1[[#This Row],[Frequency (GHz)]]&lt;110),Table1[[#This Row],[Max Chip Thermal Density (W/cm2)]],#N/A)</f>
        <v>#N/A</v>
      </c>
      <c r="AS13" s="1" t="e">
        <f>IF(AND(ISNUMBER(Table1[[#This Row],[Max Chip Thermal Density (W/cm2)]]),Table1[[#This Row],[Frequency (GHz)]]&gt;=110,Table1[[#This Row],[Frequency (GHz)]]&lt;170),Table1[[#This Row],[Max Chip Thermal Density (W/cm2)]],#N/A)</f>
        <v>#N/A</v>
      </c>
      <c r="AT13" s="1" t="e">
        <f>IF(AND(ISNUMBER(Table1[[#This Row],[Max Chip Thermal Density (W/cm2)]]),Table1[[#This Row],[Frequency (GHz)]]&gt;=170,Table1[[#This Row],[Frequency (GHz)]]&lt;260),Table1[[#This Row],[Max Chip Thermal Density (W/cm2)]],#N/A)</f>
        <v>#N/A</v>
      </c>
      <c r="AU13" s="1" t="e">
        <f>IF(AND(ISNUMBER(Table1[[#This Row],[Max Chip Thermal Density (W/cm2)]]),Table1[[#This Row],[Frequency (GHz)]]&gt;=260),Table1[[#This Row],[Max Chip Thermal Density (W/cm2)]],#N/A)</f>
        <v>#N/A</v>
      </c>
    </row>
    <row r="14" spans="1:47" x14ac:dyDescent="0.2">
      <c r="A14" s="25">
        <f>IF(ISNUMBER(Table1[[#This Row],[Total Pout/Prad (dBm)]]),Table1[[#This Row],[Total Pout/Prad (dBm)]],#N/A)</f>
        <v>-0.9</v>
      </c>
      <c r="B14" s="1">
        <f>IF(ISNUMBER(Table1[[#This Row],[Total Pout/Prad (dBm)]]),Table1[[#This Row],[Total '# of TX Elements]],#N/A)</f>
        <v>16</v>
      </c>
      <c r="C14" s="1">
        <f>IF(ISNUMBER(Table1[[#This Row],[TX EIRP (dBm)]]),Table1[[#This Row],[TX EIRP (dBm)]],#N/A)</f>
        <v>17.100000000000001</v>
      </c>
      <c r="D14" s="1">
        <f>Table1[[#This Row],[TX Pdc (W)]]</f>
        <v>1.54</v>
      </c>
      <c r="E14" s="1">
        <f>IF(ISNUMBER(Table1[[#This Row],[Array Aperture Size (cm2)]]),Table1[[#This Row],[Array Aperture Size (cm2)]],IF(Table1[[#This Row],[Antenna on (None, Chip, AiP, PCB)]]="Chip",Table1[[#This Row],[Chip Core Size - X (mm)]]*Table1[[#This Row],[Chip Core Size -Y (mm)]]/100*Table1[[#This Row],['# of IC per Tile]]*Table1[[#This Row],['# of Array Tile]],#N/A))</f>
        <v>2.8080000000000004E-2</v>
      </c>
      <c r="F14" s="1">
        <f t="shared" si="0"/>
        <v>5.2781202348318124E-2</v>
      </c>
      <c r="G14" s="1">
        <f t="shared" si="1"/>
        <v>3.3302687272166578</v>
      </c>
      <c r="L14" s="1" t="e">
        <f>IF(Table1[[#This Row],[Frequency (GHz)]]&lt;20,Plot_Data_Power!F14,#N/A)</f>
        <v>#N/A</v>
      </c>
      <c r="M14" s="1" t="e">
        <f>IF(AND(Table1[[#This Row],[Frequency (GHz)]]&gt;=20,Table1[[#This Row],[Frequency (GHz)]]&lt;50),Plot_Data_Power!F14,#N/A)</f>
        <v>#N/A</v>
      </c>
      <c r="N14" s="1" t="e">
        <f>IF(AND(Table1[[#This Row],[Frequency (GHz)]]&gt;=50,Table1[[#This Row],[Frequency (GHz)]]&lt;75),Plot_Data_Power!F14,#N/A)</f>
        <v>#N/A</v>
      </c>
      <c r="O14" s="1" t="e">
        <f>IF(AND(Table1[[#This Row],[Frequency (GHz)]]&gt;=75,Table1[[#This Row],[Frequency (GHz)]]&lt;110),Plot_Data_Power!F14,#N/A)</f>
        <v>#N/A</v>
      </c>
      <c r="P14" s="1" t="e">
        <f>IF(AND(Table1[[#This Row],[Frequency (GHz)]]&gt;=110,Table1[[#This Row],[Frequency (GHz)]]&lt;170),Plot_Data_Power!F14,#N/A)</f>
        <v>#N/A</v>
      </c>
      <c r="Q14" s="1" t="e">
        <f>IF(AND(Table1[[#This Row],[Frequency (GHz)]]&gt;=170,Table1[[#This Row],[Frequency (GHz)]]&lt;260),Plot_Data_Power!F14,#N/A)</f>
        <v>#N/A</v>
      </c>
      <c r="R14" s="1">
        <f>IF(Table1[[#This Row],[Frequency (GHz)]]&gt;=260,Plot_Data_Power!F14,#N/A)</f>
        <v>5.2781202348318124E-2</v>
      </c>
      <c r="U14" s="1" t="e">
        <f>IF(Table1[[#This Row],[Frequency (GHz)]]&lt;20,Plot_Data_Power!G14,#N/A)</f>
        <v>#N/A</v>
      </c>
      <c r="V14" s="1" t="e">
        <f>IF(AND(Table1[[#This Row],[Frequency (GHz)]]&gt;=20,Table1[[#This Row],[Frequency (GHz)]]&lt;50),Plot_Data_Power!G14,#N/A)</f>
        <v>#N/A</v>
      </c>
      <c r="W14" s="1" t="e">
        <f>IF(AND(Table1[[#This Row],[Frequency (GHz)]]&gt;=50,Table1[[#This Row],[Frequency (GHz)]]&lt;75),Plot_Data_Power!G14,#N/A)</f>
        <v>#N/A</v>
      </c>
      <c r="X14" s="1" t="e">
        <f>IF(AND(Table1[[#This Row],[Frequency (GHz)]]&gt;=75,Table1[[#This Row],[Frequency (GHz)]]&lt;110),Plot_Data_Power!G14,#N/A)</f>
        <v>#N/A</v>
      </c>
      <c r="Y14" s="1" t="e">
        <f>IF(AND(Table1[[#This Row],[Frequency (GHz)]]&gt;=110,Table1[[#This Row],[Frequency (GHz)]]&lt;170),Plot_Data_Power!G14,#N/A)</f>
        <v>#N/A</v>
      </c>
      <c r="Z14" s="1" t="e">
        <f>IF(AND(Table1[[#This Row],[Frequency (GHz)]]&gt;=170,Table1[[#This Row],[Frequency (GHz)]]&lt;260),Plot_Data_Power!G14,#N/A)</f>
        <v>#N/A</v>
      </c>
      <c r="AA14" s="1">
        <f>IF(Table1[[#This Row],[Frequency (GHz)]]&gt;=260,Plot_Data_Power!G14,#N/A)</f>
        <v>3.3302687272166578</v>
      </c>
      <c r="AD14" s="1" t="e">
        <f>IF(ISNUMBER(Table1[[#This Row],[Max Package Thermal Density (W/cm2)]]),Table1[[#This Row],[Max Package Thermal Density (W/cm2)]],#N/A)</f>
        <v>#N/A</v>
      </c>
      <c r="AE14" s="1" t="e">
        <f>IF(AND(ISNUMBER((Table1[[#This Row],[Max Package Thermal Density (W/cm2)]])),Table1[[#This Row],[Frequency (GHz)]]&lt;20),Table1[[#This Row],[Max Package Thermal Density (W/cm2)]],#N/A)</f>
        <v>#N/A</v>
      </c>
      <c r="AF14" s="1" t="e">
        <f>IF(AND(ISNUMBER(Table1[[#This Row],[Max Package Thermal Density (W/cm2)]]),Table1[[#This Row],[Frequency (GHz)]]&gt;=20,Table1[[#This Row],[Frequency (GHz)]]&lt;50),Table1[[#This Row],[Max Package Thermal Density (W/cm2)]],#N/A)</f>
        <v>#N/A</v>
      </c>
      <c r="AG14" s="1" t="e">
        <f>IF(AND(ISNUMBER(Table1[[#This Row],[Max Package Thermal Density (W/cm2)]]),Table1[[#This Row],[Frequency (GHz)]]&gt;=50,Table1[[#This Row],[Frequency (GHz)]]&lt;75),Table1[[#This Row],[Max Package Thermal Density (W/cm2)]],#N/A)</f>
        <v>#N/A</v>
      </c>
      <c r="AH14" s="1" t="e">
        <f>IF(AND(ISNUMBER(Table1[[#This Row],[Max Package Thermal Density (W/cm2)]]),Table1[[#This Row],[Frequency (GHz)]]&gt;=75,Table1[[#This Row],[Frequency (GHz)]]&lt;110),Table1[[#This Row],[Max Package Thermal Density (W/cm2)]],#N/A)</f>
        <v>#N/A</v>
      </c>
      <c r="AI14" s="1" t="e">
        <f>IF(AND(ISNUMBER(Table1[[#This Row],[Max Package Thermal Density (W/cm2)]]),Table1[[#This Row],[Frequency (GHz)]]&gt;=110,Table1[[#This Row],[Frequency (GHz)]]&lt;170),Table1[[#This Row],[Max Package Thermal Density (W/cm2)]],#N/A)</f>
        <v>#N/A</v>
      </c>
      <c r="AJ14" s="1" t="e">
        <f>IF(AND(ISNUMBER(Table1[[#This Row],[Max Package Thermal Density (W/cm2)]]),Table1[[#This Row],[Frequency (GHz)]]&gt;=170,Table1[[#This Row],[Frequency (GHz)]]&lt;260),Table1[[#This Row],[Max Package Thermal Density (W/cm2)]],#N/A)</f>
        <v>#N/A</v>
      </c>
      <c r="AK14" s="1" t="e">
        <f>IF(AND(ISNUMBER(Table1[[#This Row],[Max Package Thermal Density (W/cm2)]]),Table1[[#This Row],[Frequency (GHz)]]&gt;=260),Table1[[#This Row],[Max Package Thermal Density (W/cm2)]],#N/A)</f>
        <v>#N/A</v>
      </c>
      <c r="AN14" s="1">
        <f>IF(ISNUMBER(Table1[[#This Row],[Max Chip Thermal Density (W/cm2)]]),Table1[[#This Row],[Max Chip Thermal Density (W/cm2)]],#N/A)</f>
        <v>39.487179487179489</v>
      </c>
      <c r="AO14" s="1" t="e">
        <f>IF(AND(ISNUMBER((Table1[[#This Row],[Max Chip Thermal Density (W/cm2)]])),Table1[[#This Row],[Frequency (GHz)]]&lt;20),Table1[[#This Row],[Max Chip Thermal Density (W/cm2)]],#N/A)</f>
        <v>#N/A</v>
      </c>
      <c r="AP14" s="1" t="e">
        <f>IF(AND(ISNUMBER(Table1[[#This Row],[Max Chip Thermal Density (W/cm2)]]),Table1[[#This Row],[Frequency (GHz)]]&gt;=20,Table1[[#This Row],[Frequency (GHz)]]&lt;50),Table1[[#This Row],[Max Chip Thermal Density (W/cm2)]],#N/A)</f>
        <v>#N/A</v>
      </c>
      <c r="AQ14" s="1" t="e">
        <f>IF(AND(ISNUMBER(Table1[[#This Row],[Max Chip Thermal Density (W/cm2)]]),Table1[[#This Row],[Frequency (GHz)]]&gt;=50,Table1[[#This Row],[Frequency (GHz)]]&lt;75),Table1[[#This Row],[Max Chip Thermal Density (W/cm2)]],#N/A)</f>
        <v>#N/A</v>
      </c>
      <c r="AR14" s="1" t="e">
        <f>IF(AND(ISNUMBER(Table1[[#This Row],[Max Chip Thermal Density (W/cm2)]]),Table1[[#This Row],[Frequency (GHz)]]&gt;=75,Table1[[#This Row],[Frequency (GHz)]]&lt;110),Table1[[#This Row],[Max Chip Thermal Density (W/cm2)]],#N/A)</f>
        <v>#N/A</v>
      </c>
      <c r="AS14" s="1" t="e">
        <f>IF(AND(ISNUMBER(Table1[[#This Row],[Max Chip Thermal Density (W/cm2)]]),Table1[[#This Row],[Frequency (GHz)]]&gt;=110,Table1[[#This Row],[Frequency (GHz)]]&lt;170),Table1[[#This Row],[Max Chip Thermal Density (W/cm2)]],#N/A)</f>
        <v>#N/A</v>
      </c>
      <c r="AT14" s="1" t="e">
        <f>IF(AND(ISNUMBER(Table1[[#This Row],[Max Chip Thermal Density (W/cm2)]]),Table1[[#This Row],[Frequency (GHz)]]&gt;=170,Table1[[#This Row],[Frequency (GHz)]]&lt;260),Table1[[#This Row],[Max Chip Thermal Density (W/cm2)]],#N/A)</f>
        <v>#N/A</v>
      </c>
      <c r="AU14" s="1">
        <f>IF(AND(ISNUMBER(Table1[[#This Row],[Max Chip Thermal Density (W/cm2)]]),Table1[[#This Row],[Frequency (GHz)]]&gt;=260),Table1[[#This Row],[Max Chip Thermal Density (W/cm2)]],#N/A)</f>
        <v>39.487179487179489</v>
      </c>
    </row>
    <row r="15" spans="1:47" x14ac:dyDescent="0.2">
      <c r="A15" s="25" t="e">
        <f>IF(ISNUMBER(Table1[[#This Row],[Total Pout/Prad (dBm)]]),Table1[[#This Row],[Total Pout/Prad (dBm)]],#N/A)</f>
        <v>#N/A</v>
      </c>
      <c r="B15" s="1" t="e">
        <f>IF(ISNUMBER(Table1[[#This Row],[Total Pout/Prad (dBm)]]),Table1[[#This Row],[Total '# of TX Elements]],#N/A)</f>
        <v>#N/A</v>
      </c>
      <c r="C15" s="1">
        <f>IF(ISNUMBER(Table1[[#This Row],[TX EIRP (dBm)]]),Table1[[#This Row],[TX EIRP (dBm)]],#N/A)</f>
        <v>27</v>
      </c>
      <c r="D15" s="1">
        <f>Table1[[#This Row],[TX Pdc (W)]]</f>
        <v>1.19</v>
      </c>
      <c r="E15"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5" s="1" t="e">
        <f t="shared" si="0"/>
        <v>#N/A</v>
      </c>
      <c r="G15" s="1">
        <f t="shared" si="1"/>
        <v>42.116574254392667</v>
      </c>
      <c r="L15" s="1" t="e">
        <f>IF(Table1[[#This Row],[Frequency (GHz)]]&lt;20,Plot_Data_Power!F15,#N/A)</f>
        <v>#N/A</v>
      </c>
      <c r="M15" s="1" t="e">
        <f>IF(AND(Table1[[#This Row],[Frequency (GHz)]]&gt;=20,Table1[[#This Row],[Frequency (GHz)]]&lt;50),Plot_Data_Power!F15,#N/A)</f>
        <v>#N/A</v>
      </c>
      <c r="N15" s="1" t="e">
        <f>IF(AND(Table1[[#This Row],[Frequency (GHz)]]&gt;=50,Table1[[#This Row],[Frequency (GHz)]]&lt;75),Plot_Data_Power!F15,#N/A)</f>
        <v>#N/A</v>
      </c>
      <c r="O15" s="1" t="e">
        <f>IF(AND(Table1[[#This Row],[Frequency (GHz)]]&gt;=75,Table1[[#This Row],[Frequency (GHz)]]&lt;110),Plot_Data_Power!F15,#N/A)</f>
        <v>#N/A</v>
      </c>
      <c r="P15" s="1" t="e">
        <f>IF(AND(Table1[[#This Row],[Frequency (GHz)]]&gt;=110,Table1[[#This Row],[Frequency (GHz)]]&lt;170),Plot_Data_Power!F15,#N/A)</f>
        <v>#N/A</v>
      </c>
      <c r="Q15" s="1" t="e">
        <f>IF(AND(Table1[[#This Row],[Frequency (GHz)]]&gt;=170,Table1[[#This Row],[Frequency (GHz)]]&lt;260),Plot_Data_Power!F15,#N/A)</f>
        <v>#N/A</v>
      </c>
      <c r="R15" s="1" t="e">
        <f>IF(Table1[[#This Row],[Frequency (GHz)]]&gt;=260,Plot_Data_Power!F15,#N/A)</f>
        <v>#N/A</v>
      </c>
      <c r="U15" s="1" t="e">
        <f>IF(Table1[[#This Row],[Frequency (GHz)]]&lt;20,Plot_Data_Power!G15,#N/A)</f>
        <v>#N/A</v>
      </c>
      <c r="V15" s="1" t="e">
        <f>IF(AND(Table1[[#This Row],[Frequency (GHz)]]&gt;=20,Table1[[#This Row],[Frequency (GHz)]]&lt;50),Plot_Data_Power!G15,#N/A)</f>
        <v>#N/A</v>
      </c>
      <c r="W15" s="1">
        <f>IF(AND(Table1[[#This Row],[Frequency (GHz)]]&gt;=50,Table1[[#This Row],[Frequency (GHz)]]&lt;75),Plot_Data_Power!G15,#N/A)</f>
        <v>42.116574254392667</v>
      </c>
      <c r="X15" s="1" t="e">
        <f>IF(AND(Table1[[#This Row],[Frequency (GHz)]]&gt;=75,Table1[[#This Row],[Frequency (GHz)]]&lt;110),Plot_Data_Power!G15,#N/A)</f>
        <v>#N/A</v>
      </c>
      <c r="Y15" s="1" t="e">
        <f>IF(AND(Table1[[#This Row],[Frequency (GHz)]]&gt;=110,Table1[[#This Row],[Frequency (GHz)]]&lt;170),Plot_Data_Power!G15,#N/A)</f>
        <v>#N/A</v>
      </c>
      <c r="Z15" s="1" t="e">
        <f>IF(AND(Table1[[#This Row],[Frequency (GHz)]]&gt;=170,Table1[[#This Row],[Frequency (GHz)]]&lt;260),Plot_Data_Power!G15,#N/A)</f>
        <v>#N/A</v>
      </c>
      <c r="AA15" s="1" t="e">
        <f>IF(Table1[[#This Row],[Frequency (GHz)]]&gt;=260,Plot_Data_Power!G15,#N/A)</f>
        <v>#N/A</v>
      </c>
      <c r="AD15" s="1" t="e">
        <f>IF(ISNUMBER(Table1[[#This Row],[Max Package Thermal Density (W/cm2)]]),Table1[[#This Row],[Max Package Thermal Density (W/cm2)]],#N/A)</f>
        <v>#N/A</v>
      </c>
      <c r="AE15" s="1" t="e">
        <f>IF(AND(ISNUMBER((Table1[[#This Row],[Max Package Thermal Density (W/cm2)]])),Table1[[#This Row],[Frequency (GHz)]]&lt;20),Table1[[#This Row],[Max Package Thermal Density (W/cm2)]],#N/A)</f>
        <v>#N/A</v>
      </c>
      <c r="AF15" s="1" t="e">
        <f>IF(AND(ISNUMBER(Table1[[#This Row],[Max Package Thermal Density (W/cm2)]]),Table1[[#This Row],[Frequency (GHz)]]&gt;=20,Table1[[#This Row],[Frequency (GHz)]]&lt;50),Table1[[#This Row],[Max Package Thermal Density (W/cm2)]],#N/A)</f>
        <v>#N/A</v>
      </c>
      <c r="AG15" s="1" t="e">
        <f>IF(AND(ISNUMBER(Table1[[#This Row],[Max Package Thermal Density (W/cm2)]]),Table1[[#This Row],[Frequency (GHz)]]&gt;=50,Table1[[#This Row],[Frequency (GHz)]]&lt;75),Table1[[#This Row],[Max Package Thermal Density (W/cm2)]],#N/A)</f>
        <v>#N/A</v>
      </c>
      <c r="AH15" s="1" t="e">
        <f>IF(AND(ISNUMBER(Table1[[#This Row],[Max Package Thermal Density (W/cm2)]]),Table1[[#This Row],[Frequency (GHz)]]&gt;=75,Table1[[#This Row],[Frequency (GHz)]]&lt;110),Table1[[#This Row],[Max Package Thermal Density (W/cm2)]],#N/A)</f>
        <v>#N/A</v>
      </c>
      <c r="AI15" s="1" t="e">
        <f>IF(AND(ISNUMBER(Table1[[#This Row],[Max Package Thermal Density (W/cm2)]]),Table1[[#This Row],[Frequency (GHz)]]&gt;=110,Table1[[#This Row],[Frequency (GHz)]]&lt;170),Table1[[#This Row],[Max Package Thermal Density (W/cm2)]],#N/A)</f>
        <v>#N/A</v>
      </c>
      <c r="AJ15" s="1" t="e">
        <f>IF(AND(ISNUMBER(Table1[[#This Row],[Max Package Thermal Density (W/cm2)]]),Table1[[#This Row],[Frequency (GHz)]]&gt;=170,Table1[[#This Row],[Frequency (GHz)]]&lt;260),Table1[[#This Row],[Max Package Thermal Density (W/cm2)]],#N/A)</f>
        <v>#N/A</v>
      </c>
      <c r="AK15" s="1" t="e">
        <f>IF(AND(ISNUMBER(Table1[[#This Row],[Max Package Thermal Density (W/cm2)]]),Table1[[#This Row],[Frequency (GHz)]]&gt;=260),Table1[[#This Row],[Max Package Thermal Density (W/cm2)]],#N/A)</f>
        <v>#N/A</v>
      </c>
      <c r="AN15" s="1">
        <f>IF(ISNUMBER(Table1[[#This Row],[Max Chip Thermal Density (W/cm2)]]),Table1[[#This Row],[Max Chip Thermal Density (W/cm2)]],#N/A)</f>
        <v>4.5212765957446805</v>
      </c>
      <c r="AO15" s="1" t="e">
        <f>IF(AND(ISNUMBER((Table1[[#This Row],[Max Chip Thermal Density (W/cm2)]])),Table1[[#This Row],[Frequency (GHz)]]&lt;20),Table1[[#This Row],[Max Chip Thermal Density (W/cm2)]],#N/A)</f>
        <v>#N/A</v>
      </c>
      <c r="AP15" s="1" t="e">
        <f>IF(AND(ISNUMBER(Table1[[#This Row],[Max Chip Thermal Density (W/cm2)]]),Table1[[#This Row],[Frequency (GHz)]]&gt;=20,Table1[[#This Row],[Frequency (GHz)]]&lt;50),Table1[[#This Row],[Max Chip Thermal Density (W/cm2)]],#N/A)</f>
        <v>#N/A</v>
      </c>
      <c r="AQ15" s="1">
        <f>IF(AND(ISNUMBER(Table1[[#This Row],[Max Chip Thermal Density (W/cm2)]]),Table1[[#This Row],[Frequency (GHz)]]&gt;=50,Table1[[#This Row],[Frequency (GHz)]]&lt;75),Table1[[#This Row],[Max Chip Thermal Density (W/cm2)]],#N/A)</f>
        <v>4.5212765957446805</v>
      </c>
      <c r="AR15" s="1" t="e">
        <f>IF(AND(ISNUMBER(Table1[[#This Row],[Max Chip Thermal Density (W/cm2)]]),Table1[[#This Row],[Frequency (GHz)]]&gt;=75,Table1[[#This Row],[Frequency (GHz)]]&lt;110),Table1[[#This Row],[Max Chip Thermal Density (W/cm2)]],#N/A)</f>
        <v>#N/A</v>
      </c>
      <c r="AS15" s="1" t="e">
        <f>IF(AND(ISNUMBER(Table1[[#This Row],[Max Chip Thermal Density (W/cm2)]]),Table1[[#This Row],[Frequency (GHz)]]&gt;=110,Table1[[#This Row],[Frequency (GHz)]]&lt;170),Table1[[#This Row],[Max Chip Thermal Density (W/cm2)]],#N/A)</f>
        <v>#N/A</v>
      </c>
      <c r="AT15" s="1" t="e">
        <f>IF(AND(ISNUMBER(Table1[[#This Row],[Max Chip Thermal Density (W/cm2)]]),Table1[[#This Row],[Frequency (GHz)]]&gt;=170,Table1[[#This Row],[Frequency (GHz)]]&lt;260),Table1[[#This Row],[Max Chip Thermal Density (W/cm2)]],#N/A)</f>
        <v>#N/A</v>
      </c>
      <c r="AU15" s="1" t="e">
        <f>IF(AND(ISNUMBER(Table1[[#This Row],[Max Chip Thermal Density (W/cm2)]]),Table1[[#This Row],[Frequency (GHz)]]&gt;=260),Table1[[#This Row],[Max Chip Thermal Density (W/cm2)]],#N/A)</f>
        <v>#N/A</v>
      </c>
    </row>
    <row r="16" spans="1:47" x14ac:dyDescent="0.2">
      <c r="A16" s="25" t="e">
        <f>IF(ISNUMBER(Table1[[#This Row],[Total Pout/Prad (dBm)]]),Table1[[#This Row],[Total Pout/Prad (dBm)]],#N/A)</f>
        <v>#N/A</v>
      </c>
      <c r="B16" s="1" t="e">
        <f>IF(ISNUMBER(Table1[[#This Row],[Total Pout/Prad (dBm)]]),Table1[[#This Row],[Total '# of TX Elements]],#N/A)</f>
        <v>#N/A</v>
      </c>
      <c r="C16" s="1">
        <f>IF(ISNUMBER(Table1[[#This Row],[TX EIRP (dBm)]]),Table1[[#This Row],[TX EIRP (dBm)]],#N/A)</f>
        <v>34</v>
      </c>
      <c r="D16" s="1">
        <f>Table1[[#This Row],[TX Pdc (W)]]</f>
        <v>5.5</v>
      </c>
      <c r="E16" s="1">
        <f>IF(ISNUMBER(Table1[[#This Row],[Array Aperture Size (cm2)]]),Table1[[#This Row],[Array Aperture Size (cm2)]],IF(Table1[[#This Row],[Antenna on (None, Chip, AiP, PCB)]]="Chip",Table1[[#This Row],[Chip Core Size - X (mm)]]*Table1[[#This Row],[Chip Core Size -Y (mm)]]/100*Table1[[#This Row],['# of IC per Tile]]*Table1[[#This Row],['# of Array Tile]],#N/A))</f>
        <v>0.64800000000000002</v>
      </c>
      <c r="F16" s="1" t="e">
        <f t="shared" si="0"/>
        <v>#N/A</v>
      </c>
      <c r="G16" s="1">
        <f t="shared" si="1"/>
        <v>45.67066239108329</v>
      </c>
      <c r="L16" s="1" t="e">
        <f>IF(Table1[[#This Row],[Frequency (GHz)]]&lt;20,Plot_Data_Power!F16,#N/A)</f>
        <v>#N/A</v>
      </c>
      <c r="M16" s="1" t="e">
        <f>IF(AND(Table1[[#This Row],[Frequency (GHz)]]&gt;=20,Table1[[#This Row],[Frequency (GHz)]]&lt;50),Plot_Data_Power!F16,#N/A)</f>
        <v>#N/A</v>
      </c>
      <c r="N16" s="1" t="e">
        <f>IF(AND(Table1[[#This Row],[Frequency (GHz)]]&gt;=50,Table1[[#This Row],[Frequency (GHz)]]&lt;75),Plot_Data_Power!F16,#N/A)</f>
        <v>#N/A</v>
      </c>
      <c r="O16" s="1" t="e">
        <f>IF(AND(Table1[[#This Row],[Frequency (GHz)]]&gt;=75,Table1[[#This Row],[Frequency (GHz)]]&lt;110),Plot_Data_Power!F16,#N/A)</f>
        <v>#N/A</v>
      </c>
      <c r="P16" s="1" t="e">
        <f>IF(AND(Table1[[#This Row],[Frequency (GHz)]]&gt;=110,Table1[[#This Row],[Frequency (GHz)]]&lt;170),Plot_Data_Power!F16,#N/A)</f>
        <v>#N/A</v>
      </c>
      <c r="Q16" s="1" t="e">
        <f>IF(AND(Table1[[#This Row],[Frequency (GHz)]]&gt;=170,Table1[[#This Row],[Frequency (GHz)]]&lt;260),Plot_Data_Power!F16,#N/A)</f>
        <v>#N/A</v>
      </c>
      <c r="R16" s="1" t="e">
        <f>IF(Table1[[#This Row],[Frequency (GHz)]]&gt;=260,Plot_Data_Power!F16,#N/A)</f>
        <v>#N/A</v>
      </c>
      <c r="U16" s="1" t="e">
        <f>IF(Table1[[#This Row],[Frequency (GHz)]]&lt;20,Plot_Data_Power!G16,#N/A)</f>
        <v>#N/A</v>
      </c>
      <c r="V16" s="1" t="e">
        <f>IF(AND(Table1[[#This Row],[Frequency (GHz)]]&gt;=20,Table1[[#This Row],[Frequency (GHz)]]&lt;50),Plot_Data_Power!G16,#N/A)</f>
        <v>#N/A</v>
      </c>
      <c r="W16" s="1">
        <f>IF(AND(Table1[[#This Row],[Frequency (GHz)]]&gt;=50,Table1[[#This Row],[Frequency (GHz)]]&lt;75),Plot_Data_Power!G16,#N/A)</f>
        <v>45.67066239108329</v>
      </c>
      <c r="X16" s="1" t="e">
        <f>IF(AND(Table1[[#This Row],[Frequency (GHz)]]&gt;=75,Table1[[#This Row],[Frequency (GHz)]]&lt;110),Plot_Data_Power!G16,#N/A)</f>
        <v>#N/A</v>
      </c>
      <c r="Y16" s="1" t="e">
        <f>IF(AND(Table1[[#This Row],[Frequency (GHz)]]&gt;=110,Table1[[#This Row],[Frequency (GHz)]]&lt;170),Plot_Data_Power!G16,#N/A)</f>
        <v>#N/A</v>
      </c>
      <c r="Z16" s="1" t="e">
        <f>IF(AND(Table1[[#This Row],[Frequency (GHz)]]&gt;=170,Table1[[#This Row],[Frequency (GHz)]]&lt;260),Plot_Data_Power!G16,#N/A)</f>
        <v>#N/A</v>
      </c>
      <c r="AA16" s="1" t="e">
        <f>IF(Table1[[#This Row],[Frequency (GHz)]]&gt;=260,Plot_Data_Power!G16,#N/A)</f>
        <v>#N/A</v>
      </c>
      <c r="AD16" s="1">
        <f>IF(ISNUMBER(Table1[[#This Row],[Max Package Thermal Density (W/cm2)]]),Table1[[#This Row],[Max Package Thermal Density (W/cm2)]],#N/A)</f>
        <v>8.4876543209876534</v>
      </c>
      <c r="AE16" s="1" t="e">
        <f>IF(AND(ISNUMBER((Table1[[#This Row],[Max Package Thermal Density (W/cm2)]])),Table1[[#This Row],[Frequency (GHz)]]&lt;20),Table1[[#This Row],[Max Package Thermal Density (W/cm2)]],#N/A)</f>
        <v>#N/A</v>
      </c>
      <c r="AF16" s="1" t="e">
        <f>IF(AND(ISNUMBER(Table1[[#This Row],[Max Package Thermal Density (W/cm2)]]),Table1[[#This Row],[Frequency (GHz)]]&gt;=20,Table1[[#This Row],[Frequency (GHz)]]&lt;50),Table1[[#This Row],[Max Package Thermal Density (W/cm2)]],#N/A)</f>
        <v>#N/A</v>
      </c>
      <c r="AG16" s="1">
        <f>IF(AND(ISNUMBER(Table1[[#This Row],[Max Package Thermal Density (W/cm2)]]),Table1[[#This Row],[Frequency (GHz)]]&gt;=50,Table1[[#This Row],[Frequency (GHz)]]&lt;75),Table1[[#This Row],[Max Package Thermal Density (W/cm2)]],#N/A)</f>
        <v>8.4876543209876534</v>
      </c>
      <c r="AH16" s="1" t="e">
        <f>IF(AND(ISNUMBER(Table1[[#This Row],[Max Package Thermal Density (W/cm2)]]),Table1[[#This Row],[Frequency (GHz)]]&gt;=75,Table1[[#This Row],[Frequency (GHz)]]&lt;110),Table1[[#This Row],[Max Package Thermal Density (W/cm2)]],#N/A)</f>
        <v>#N/A</v>
      </c>
      <c r="AI16" s="1" t="e">
        <f>IF(AND(ISNUMBER(Table1[[#This Row],[Max Package Thermal Density (W/cm2)]]),Table1[[#This Row],[Frequency (GHz)]]&gt;=110,Table1[[#This Row],[Frequency (GHz)]]&lt;170),Table1[[#This Row],[Max Package Thermal Density (W/cm2)]],#N/A)</f>
        <v>#N/A</v>
      </c>
      <c r="AJ16" s="1" t="e">
        <f>IF(AND(ISNUMBER(Table1[[#This Row],[Max Package Thermal Density (W/cm2)]]),Table1[[#This Row],[Frequency (GHz)]]&gt;=170,Table1[[#This Row],[Frequency (GHz)]]&lt;260),Table1[[#This Row],[Max Package Thermal Density (W/cm2)]],#N/A)</f>
        <v>#N/A</v>
      </c>
      <c r="AK16" s="1" t="e">
        <f>IF(AND(ISNUMBER(Table1[[#This Row],[Max Package Thermal Density (W/cm2)]]),Table1[[#This Row],[Frequency (GHz)]]&gt;=260),Table1[[#This Row],[Max Package Thermal Density (W/cm2)]],#N/A)</f>
        <v>#N/A</v>
      </c>
      <c r="AN16" s="1">
        <f>IF(ISNUMBER(Table1[[#This Row],[Max Chip Thermal Density (W/cm2)]]),Table1[[#This Row],[Max Chip Thermal Density (W/cm2)]],#N/A)</f>
        <v>22.448979591836736</v>
      </c>
      <c r="AO16" s="1" t="e">
        <f>IF(AND(ISNUMBER((Table1[[#This Row],[Max Chip Thermal Density (W/cm2)]])),Table1[[#This Row],[Frequency (GHz)]]&lt;20),Table1[[#This Row],[Max Chip Thermal Density (W/cm2)]],#N/A)</f>
        <v>#N/A</v>
      </c>
      <c r="AP16" s="1" t="e">
        <f>IF(AND(ISNUMBER(Table1[[#This Row],[Max Chip Thermal Density (W/cm2)]]),Table1[[#This Row],[Frequency (GHz)]]&gt;=20,Table1[[#This Row],[Frequency (GHz)]]&lt;50),Table1[[#This Row],[Max Chip Thermal Density (W/cm2)]],#N/A)</f>
        <v>#N/A</v>
      </c>
      <c r="AQ16" s="1">
        <f>IF(AND(ISNUMBER(Table1[[#This Row],[Max Chip Thermal Density (W/cm2)]]),Table1[[#This Row],[Frequency (GHz)]]&gt;=50,Table1[[#This Row],[Frequency (GHz)]]&lt;75),Table1[[#This Row],[Max Chip Thermal Density (W/cm2)]],#N/A)</f>
        <v>22.448979591836736</v>
      </c>
      <c r="AR16" s="1" t="e">
        <f>IF(AND(ISNUMBER(Table1[[#This Row],[Max Chip Thermal Density (W/cm2)]]),Table1[[#This Row],[Frequency (GHz)]]&gt;=75,Table1[[#This Row],[Frequency (GHz)]]&lt;110),Table1[[#This Row],[Max Chip Thermal Density (W/cm2)]],#N/A)</f>
        <v>#N/A</v>
      </c>
      <c r="AS16" s="1" t="e">
        <f>IF(AND(ISNUMBER(Table1[[#This Row],[Max Chip Thermal Density (W/cm2)]]),Table1[[#This Row],[Frequency (GHz)]]&gt;=110,Table1[[#This Row],[Frequency (GHz)]]&lt;170),Table1[[#This Row],[Max Chip Thermal Density (W/cm2)]],#N/A)</f>
        <v>#N/A</v>
      </c>
      <c r="AT16" s="1" t="e">
        <f>IF(AND(ISNUMBER(Table1[[#This Row],[Max Chip Thermal Density (W/cm2)]]),Table1[[#This Row],[Frequency (GHz)]]&gt;=170,Table1[[#This Row],[Frequency (GHz)]]&lt;260),Table1[[#This Row],[Max Chip Thermal Density (W/cm2)]],#N/A)</f>
        <v>#N/A</v>
      </c>
      <c r="AU16" s="1" t="e">
        <f>IF(AND(ISNUMBER(Table1[[#This Row],[Max Chip Thermal Density (W/cm2)]]),Table1[[#This Row],[Frequency (GHz)]]&gt;=260),Table1[[#This Row],[Max Chip Thermal Density (W/cm2)]],#N/A)</f>
        <v>#N/A</v>
      </c>
    </row>
    <row r="17" spans="1:47" x14ac:dyDescent="0.2">
      <c r="A17" s="25">
        <f>IF(ISNUMBER(Table1[[#This Row],[Total Pout/Prad (dBm)]]),Table1[[#This Row],[Total Pout/Prad (dBm)]],#N/A)</f>
        <v>14.020599913279625</v>
      </c>
      <c r="B17" s="1">
        <f>IF(ISNUMBER(Table1[[#This Row],[Total Pout/Prad (dBm)]]),Table1[[#This Row],[Total '# of TX Elements]],#N/A)</f>
        <v>4</v>
      </c>
      <c r="C17" s="1" t="e">
        <f>IF(ISNUMBER(Table1[[#This Row],[TX EIRP (dBm)]]),Table1[[#This Row],[TX EIRP (dBm)]],#N/A)</f>
        <v>#N/A</v>
      </c>
      <c r="D17" s="1">
        <f>Table1[[#This Row],[TX Pdc (W)]]</f>
        <v>1.2</v>
      </c>
      <c r="E17" s="1">
        <f>IF(ISNUMBER(Table1[[#This Row],[Array Aperture Size (cm2)]]),Table1[[#This Row],[Array Aperture Size (cm2)]],IF(Table1[[#This Row],[Antenna on (None, Chip, AiP, PCB)]]="Chip",Table1[[#This Row],[Chip Core Size - X (mm)]]*Table1[[#This Row],[Chip Core Size -Y (mm)]]/100*Table1[[#This Row],['# of IC per Tile]]*Table1[[#This Row],['# of Array Tile]],#N/A))</f>
        <v>0.64800000000000002</v>
      </c>
      <c r="F17" s="1">
        <f t="shared" si="0"/>
        <v>2.103191148267312</v>
      </c>
      <c r="G17" s="1" t="e">
        <f t="shared" si="1"/>
        <v>#N/A</v>
      </c>
      <c r="L17" s="1" t="e">
        <f>IF(Table1[[#This Row],[Frequency (GHz)]]&lt;20,Plot_Data_Power!F17,#N/A)</f>
        <v>#N/A</v>
      </c>
      <c r="M17" s="1" t="e">
        <f>IF(AND(Table1[[#This Row],[Frequency (GHz)]]&gt;=20,Table1[[#This Row],[Frequency (GHz)]]&lt;50),Plot_Data_Power!F17,#N/A)</f>
        <v>#N/A</v>
      </c>
      <c r="N17" s="1" t="e">
        <f>IF(AND(Table1[[#This Row],[Frequency (GHz)]]&gt;=50,Table1[[#This Row],[Frequency (GHz)]]&lt;75),Plot_Data_Power!F17,#N/A)</f>
        <v>#N/A</v>
      </c>
      <c r="O17" s="1">
        <f>IF(AND(Table1[[#This Row],[Frequency (GHz)]]&gt;=75,Table1[[#This Row],[Frequency (GHz)]]&lt;110),Plot_Data_Power!F17,#N/A)</f>
        <v>2.103191148267312</v>
      </c>
      <c r="P17" s="1" t="e">
        <f>IF(AND(Table1[[#This Row],[Frequency (GHz)]]&gt;=110,Table1[[#This Row],[Frequency (GHz)]]&lt;170),Plot_Data_Power!F17,#N/A)</f>
        <v>#N/A</v>
      </c>
      <c r="Q17" s="1" t="e">
        <f>IF(AND(Table1[[#This Row],[Frequency (GHz)]]&gt;=170,Table1[[#This Row],[Frequency (GHz)]]&lt;260),Plot_Data_Power!F17,#N/A)</f>
        <v>#N/A</v>
      </c>
      <c r="R17" s="1" t="e">
        <f>IF(Table1[[#This Row],[Frequency (GHz)]]&gt;=260,Plot_Data_Power!F17,#N/A)</f>
        <v>#N/A</v>
      </c>
      <c r="U17" s="1" t="e">
        <f>IF(Table1[[#This Row],[Frequency (GHz)]]&lt;20,Plot_Data_Power!G17,#N/A)</f>
        <v>#N/A</v>
      </c>
      <c r="V17" s="1" t="e">
        <f>IF(AND(Table1[[#This Row],[Frequency (GHz)]]&gt;=20,Table1[[#This Row],[Frequency (GHz)]]&lt;50),Plot_Data_Power!G17,#N/A)</f>
        <v>#N/A</v>
      </c>
      <c r="W17" s="1" t="e">
        <f>IF(AND(Table1[[#This Row],[Frequency (GHz)]]&gt;=50,Table1[[#This Row],[Frequency (GHz)]]&lt;75),Plot_Data_Power!G17,#N/A)</f>
        <v>#N/A</v>
      </c>
      <c r="X17" s="1" t="e">
        <f>IF(AND(Table1[[#This Row],[Frequency (GHz)]]&gt;=75,Table1[[#This Row],[Frequency (GHz)]]&lt;110),Plot_Data_Power!G17,#N/A)</f>
        <v>#N/A</v>
      </c>
      <c r="Y17" s="1" t="e">
        <f>IF(AND(Table1[[#This Row],[Frequency (GHz)]]&gt;=110,Table1[[#This Row],[Frequency (GHz)]]&lt;170),Plot_Data_Power!G17,#N/A)</f>
        <v>#N/A</v>
      </c>
      <c r="Z17" s="1" t="e">
        <f>IF(AND(Table1[[#This Row],[Frequency (GHz)]]&gt;=170,Table1[[#This Row],[Frequency (GHz)]]&lt;260),Plot_Data_Power!G17,#N/A)</f>
        <v>#N/A</v>
      </c>
      <c r="AA17" s="1" t="e">
        <f>IF(Table1[[#This Row],[Frequency (GHz)]]&gt;=260,Plot_Data_Power!G17,#N/A)</f>
        <v>#N/A</v>
      </c>
      <c r="AD17" s="1">
        <f>IF(ISNUMBER(Table1[[#This Row],[Max Package Thermal Density (W/cm2)]]),Table1[[#This Row],[Max Package Thermal Density (W/cm2)]],#N/A)</f>
        <v>6.9444444444444446</v>
      </c>
      <c r="AE17" s="1" t="e">
        <f>IF(AND(ISNUMBER((Table1[[#This Row],[Max Package Thermal Density (W/cm2)]])),Table1[[#This Row],[Frequency (GHz)]]&lt;20),Table1[[#This Row],[Max Package Thermal Density (W/cm2)]],#N/A)</f>
        <v>#N/A</v>
      </c>
      <c r="AF17" s="1" t="e">
        <f>IF(AND(ISNUMBER(Table1[[#This Row],[Max Package Thermal Density (W/cm2)]]),Table1[[#This Row],[Frequency (GHz)]]&gt;=20,Table1[[#This Row],[Frequency (GHz)]]&lt;50),Table1[[#This Row],[Max Package Thermal Density (W/cm2)]],#N/A)</f>
        <v>#N/A</v>
      </c>
      <c r="AG17" s="1" t="e">
        <f>IF(AND(ISNUMBER(Table1[[#This Row],[Max Package Thermal Density (W/cm2)]]),Table1[[#This Row],[Frequency (GHz)]]&gt;=50,Table1[[#This Row],[Frequency (GHz)]]&lt;75),Table1[[#This Row],[Max Package Thermal Density (W/cm2)]],#N/A)</f>
        <v>#N/A</v>
      </c>
      <c r="AH17" s="1">
        <f>IF(AND(ISNUMBER(Table1[[#This Row],[Max Package Thermal Density (W/cm2)]]),Table1[[#This Row],[Frequency (GHz)]]&gt;=75,Table1[[#This Row],[Frequency (GHz)]]&lt;110),Table1[[#This Row],[Max Package Thermal Density (W/cm2)]],#N/A)</f>
        <v>6.9444444444444446</v>
      </c>
      <c r="AI17" s="1" t="e">
        <f>IF(AND(ISNUMBER(Table1[[#This Row],[Max Package Thermal Density (W/cm2)]]),Table1[[#This Row],[Frequency (GHz)]]&gt;=110,Table1[[#This Row],[Frequency (GHz)]]&lt;170),Table1[[#This Row],[Max Package Thermal Density (W/cm2)]],#N/A)</f>
        <v>#N/A</v>
      </c>
      <c r="AJ17" s="1" t="e">
        <f>IF(AND(ISNUMBER(Table1[[#This Row],[Max Package Thermal Density (W/cm2)]]),Table1[[#This Row],[Frequency (GHz)]]&gt;=170,Table1[[#This Row],[Frequency (GHz)]]&lt;260),Table1[[#This Row],[Max Package Thermal Density (W/cm2)]],#N/A)</f>
        <v>#N/A</v>
      </c>
      <c r="AK17" s="1" t="e">
        <f>IF(AND(ISNUMBER(Table1[[#This Row],[Max Package Thermal Density (W/cm2)]]),Table1[[#This Row],[Frequency (GHz)]]&gt;=260),Table1[[#This Row],[Max Package Thermal Density (W/cm2)]],#N/A)</f>
        <v>#N/A</v>
      </c>
      <c r="AN17" s="1">
        <f>IF(ISNUMBER(Table1[[#This Row],[Max Chip Thermal Density (W/cm2)]]),Table1[[#This Row],[Max Chip Thermal Density (W/cm2)]],#N/A)</f>
        <v>18.367346938775512</v>
      </c>
      <c r="AO17" s="1" t="e">
        <f>IF(AND(ISNUMBER((Table1[[#This Row],[Max Chip Thermal Density (W/cm2)]])),Table1[[#This Row],[Frequency (GHz)]]&lt;20),Table1[[#This Row],[Max Chip Thermal Density (W/cm2)]],#N/A)</f>
        <v>#N/A</v>
      </c>
      <c r="AP17" s="1" t="e">
        <f>IF(AND(ISNUMBER(Table1[[#This Row],[Max Chip Thermal Density (W/cm2)]]),Table1[[#This Row],[Frequency (GHz)]]&gt;=20,Table1[[#This Row],[Frequency (GHz)]]&lt;50),Table1[[#This Row],[Max Chip Thermal Density (W/cm2)]],#N/A)</f>
        <v>#N/A</v>
      </c>
      <c r="AQ17" s="1" t="e">
        <f>IF(AND(ISNUMBER(Table1[[#This Row],[Max Chip Thermal Density (W/cm2)]]),Table1[[#This Row],[Frequency (GHz)]]&gt;=50,Table1[[#This Row],[Frequency (GHz)]]&lt;75),Table1[[#This Row],[Max Chip Thermal Density (W/cm2)]],#N/A)</f>
        <v>#N/A</v>
      </c>
      <c r="AR17" s="1">
        <f>IF(AND(ISNUMBER(Table1[[#This Row],[Max Chip Thermal Density (W/cm2)]]),Table1[[#This Row],[Frequency (GHz)]]&gt;=75,Table1[[#This Row],[Frequency (GHz)]]&lt;110),Table1[[#This Row],[Max Chip Thermal Density (W/cm2)]],#N/A)</f>
        <v>18.367346938775512</v>
      </c>
      <c r="AS17" s="1" t="e">
        <f>IF(AND(ISNUMBER(Table1[[#This Row],[Max Chip Thermal Density (W/cm2)]]),Table1[[#This Row],[Frequency (GHz)]]&gt;=110,Table1[[#This Row],[Frequency (GHz)]]&lt;170),Table1[[#This Row],[Max Chip Thermal Density (W/cm2)]],#N/A)</f>
        <v>#N/A</v>
      </c>
      <c r="AT17" s="1" t="e">
        <f>IF(AND(ISNUMBER(Table1[[#This Row],[Max Chip Thermal Density (W/cm2)]]),Table1[[#This Row],[Frequency (GHz)]]&gt;=170,Table1[[#This Row],[Frequency (GHz)]]&lt;260),Table1[[#This Row],[Max Chip Thermal Density (W/cm2)]],#N/A)</f>
        <v>#N/A</v>
      </c>
      <c r="AU17" s="1" t="e">
        <f>IF(AND(ISNUMBER(Table1[[#This Row],[Max Chip Thermal Density (W/cm2)]]),Table1[[#This Row],[Frequency (GHz)]]&gt;=260),Table1[[#This Row],[Max Chip Thermal Density (W/cm2)]],#N/A)</f>
        <v>#N/A</v>
      </c>
    </row>
    <row r="18" spans="1:47" x14ac:dyDescent="0.2">
      <c r="A18" s="25" t="e">
        <f>IF(ISNUMBER(Table1[[#This Row],[Total Pout/Prad (dBm)]]),Table1[[#This Row],[Total Pout/Prad (dBm)]],#N/A)</f>
        <v>#N/A</v>
      </c>
      <c r="B18" s="1" t="e">
        <f>IF(ISNUMBER(Table1[[#This Row],[Total Pout/Prad (dBm)]]),Table1[[#This Row],[Total '# of TX Elements]],#N/A)</f>
        <v>#N/A</v>
      </c>
      <c r="C18" s="1" t="e">
        <f>IF(ISNUMBER(Table1[[#This Row],[TX EIRP (dBm)]]),Table1[[#This Row],[TX EIRP (dBm)]],#N/A)</f>
        <v>#N/A</v>
      </c>
      <c r="D18" s="1" t="str">
        <f>Table1[[#This Row],[TX Pdc (W)]]</f>
        <v>N/A</v>
      </c>
      <c r="E18" s="1">
        <f>IF(ISNUMBER(Table1[[#This Row],[Array Aperture Size (cm2)]]),Table1[[#This Row],[Array Aperture Size (cm2)]],IF(Table1[[#This Row],[Antenna on (None, Chip, AiP, PCB)]]="Chip",Table1[[#This Row],[Chip Core Size - X (mm)]]*Table1[[#This Row],[Chip Core Size -Y (mm)]]/100*Table1[[#This Row],['# of IC per Tile]]*Table1[[#This Row],['# of Array Tile]],#N/A))</f>
        <v>110.25</v>
      </c>
      <c r="F18" s="1" t="e">
        <f t="shared" si="0"/>
        <v>#N/A</v>
      </c>
      <c r="G18" s="1" t="e">
        <f t="shared" si="1"/>
        <v>#N/A</v>
      </c>
      <c r="L18" s="1" t="e">
        <f>IF(Table1[[#This Row],[Frequency (GHz)]]&lt;20,Plot_Data_Power!F18,#N/A)</f>
        <v>#N/A</v>
      </c>
      <c r="M18" s="1" t="e">
        <f>IF(AND(Table1[[#This Row],[Frequency (GHz)]]&gt;=20,Table1[[#This Row],[Frequency (GHz)]]&lt;50),Plot_Data_Power!F18,#N/A)</f>
        <v>#N/A</v>
      </c>
      <c r="N18" s="1" t="e">
        <f>IF(AND(Table1[[#This Row],[Frequency (GHz)]]&gt;=50,Table1[[#This Row],[Frequency (GHz)]]&lt;75),Plot_Data_Power!F18,#N/A)</f>
        <v>#N/A</v>
      </c>
      <c r="O18" s="1" t="e">
        <f>IF(AND(Table1[[#This Row],[Frequency (GHz)]]&gt;=75,Table1[[#This Row],[Frequency (GHz)]]&lt;110),Plot_Data_Power!F18,#N/A)</f>
        <v>#N/A</v>
      </c>
      <c r="P18" s="1" t="e">
        <f>IF(AND(Table1[[#This Row],[Frequency (GHz)]]&gt;=110,Table1[[#This Row],[Frequency (GHz)]]&lt;170),Plot_Data_Power!F18,#N/A)</f>
        <v>#N/A</v>
      </c>
      <c r="Q18" s="1" t="e">
        <f>IF(AND(Table1[[#This Row],[Frequency (GHz)]]&gt;=170,Table1[[#This Row],[Frequency (GHz)]]&lt;260),Plot_Data_Power!F18,#N/A)</f>
        <v>#N/A</v>
      </c>
      <c r="R18" s="1" t="e">
        <f>IF(Table1[[#This Row],[Frequency (GHz)]]&gt;=260,Plot_Data_Power!F18,#N/A)</f>
        <v>#N/A</v>
      </c>
      <c r="U18" s="1" t="e">
        <f>IF(Table1[[#This Row],[Frequency (GHz)]]&lt;20,Plot_Data_Power!G18,#N/A)</f>
        <v>#N/A</v>
      </c>
      <c r="V18" s="1" t="e">
        <f>IF(AND(Table1[[#This Row],[Frequency (GHz)]]&gt;=20,Table1[[#This Row],[Frequency (GHz)]]&lt;50),Plot_Data_Power!G18,#N/A)</f>
        <v>#N/A</v>
      </c>
      <c r="W18" s="1" t="e">
        <f>IF(AND(Table1[[#This Row],[Frequency (GHz)]]&gt;=50,Table1[[#This Row],[Frequency (GHz)]]&lt;75),Plot_Data_Power!G18,#N/A)</f>
        <v>#N/A</v>
      </c>
      <c r="X18" s="1" t="e">
        <f>IF(AND(Table1[[#This Row],[Frequency (GHz)]]&gt;=75,Table1[[#This Row],[Frequency (GHz)]]&lt;110),Plot_Data_Power!G18,#N/A)</f>
        <v>#N/A</v>
      </c>
      <c r="Y18" s="1" t="e">
        <f>IF(AND(Table1[[#This Row],[Frequency (GHz)]]&gt;=110,Table1[[#This Row],[Frequency (GHz)]]&lt;170),Plot_Data_Power!G18,#N/A)</f>
        <v>#N/A</v>
      </c>
      <c r="Z18" s="1" t="e">
        <f>IF(AND(Table1[[#This Row],[Frequency (GHz)]]&gt;=170,Table1[[#This Row],[Frequency (GHz)]]&lt;260),Plot_Data_Power!G18,#N/A)</f>
        <v>#N/A</v>
      </c>
      <c r="AA18" s="1" t="e">
        <f>IF(Table1[[#This Row],[Frequency (GHz)]]&gt;=260,Plot_Data_Power!G18,#N/A)</f>
        <v>#N/A</v>
      </c>
      <c r="AD18" s="1" t="e">
        <f>IF(ISNUMBER(Table1[[#This Row],[Max Package Thermal Density (W/cm2)]]),Table1[[#This Row],[Max Package Thermal Density (W/cm2)]],#N/A)</f>
        <v>#N/A</v>
      </c>
      <c r="AE18" s="1" t="e">
        <f>IF(AND(ISNUMBER((Table1[[#This Row],[Max Package Thermal Density (W/cm2)]])),Table1[[#This Row],[Frequency (GHz)]]&lt;20),Table1[[#This Row],[Max Package Thermal Density (W/cm2)]],#N/A)</f>
        <v>#N/A</v>
      </c>
      <c r="AF18" s="1" t="e">
        <f>IF(AND(ISNUMBER(Table1[[#This Row],[Max Package Thermal Density (W/cm2)]]),Table1[[#This Row],[Frequency (GHz)]]&gt;=20,Table1[[#This Row],[Frequency (GHz)]]&lt;50),Table1[[#This Row],[Max Package Thermal Density (W/cm2)]],#N/A)</f>
        <v>#N/A</v>
      </c>
      <c r="AG18" s="1" t="e">
        <f>IF(AND(ISNUMBER(Table1[[#This Row],[Max Package Thermal Density (W/cm2)]]),Table1[[#This Row],[Frequency (GHz)]]&gt;=50,Table1[[#This Row],[Frequency (GHz)]]&lt;75),Table1[[#This Row],[Max Package Thermal Density (W/cm2)]],#N/A)</f>
        <v>#N/A</v>
      </c>
      <c r="AH18" s="1" t="e">
        <f>IF(AND(ISNUMBER(Table1[[#This Row],[Max Package Thermal Density (W/cm2)]]),Table1[[#This Row],[Frequency (GHz)]]&gt;=75,Table1[[#This Row],[Frequency (GHz)]]&lt;110),Table1[[#This Row],[Max Package Thermal Density (W/cm2)]],#N/A)</f>
        <v>#N/A</v>
      </c>
      <c r="AI18" s="1" t="e">
        <f>IF(AND(ISNUMBER(Table1[[#This Row],[Max Package Thermal Density (W/cm2)]]),Table1[[#This Row],[Frequency (GHz)]]&gt;=110,Table1[[#This Row],[Frequency (GHz)]]&lt;170),Table1[[#This Row],[Max Package Thermal Density (W/cm2)]],#N/A)</f>
        <v>#N/A</v>
      </c>
      <c r="AJ18" s="1" t="e">
        <f>IF(AND(ISNUMBER(Table1[[#This Row],[Max Package Thermal Density (W/cm2)]]),Table1[[#This Row],[Frequency (GHz)]]&gt;=170,Table1[[#This Row],[Frequency (GHz)]]&lt;260),Table1[[#This Row],[Max Package Thermal Density (W/cm2)]],#N/A)</f>
        <v>#N/A</v>
      </c>
      <c r="AK18" s="1" t="e">
        <f>IF(AND(ISNUMBER(Table1[[#This Row],[Max Package Thermal Density (W/cm2)]]),Table1[[#This Row],[Frequency (GHz)]]&gt;=260),Table1[[#This Row],[Max Package Thermal Density (W/cm2)]],#N/A)</f>
        <v>#N/A</v>
      </c>
      <c r="AN18" s="1" t="e">
        <f>IF(ISNUMBER(Table1[[#This Row],[Max Chip Thermal Density (W/cm2)]]),Table1[[#This Row],[Max Chip Thermal Density (W/cm2)]],#N/A)</f>
        <v>#N/A</v>
      </c>
      <c r="AO18" s="1" t="e">
        <f>IF(AND(ISNUMBER((Table1[[#This Row],[Max Chip Thermal Density (W/cm2)]])),Table1[[#This Row],[Frequency (GHz)]]&lt;20),Table1[[#This Row],[Max Chip Thermal Density (W/cm2)]],#N/A)</f>
        <v>#N/A</v>
      </c>
      <c r="AP18" s="1" t="e">
        <f>IF(AND(ISNUMBER(Table1[[#This Row],[Max Chip Thermal Density (W/cm2)]]),Table1[[#This Row],[Frequency (GHz)]]&gt;=20,Table1[[#This Row],[Frequency (GHz)]]&lt;50),Table1[[#This Row],[Max Chip Thermal Density (W/cm2)]],#N/A)</f>
        <v>#N/A</v>
      </c>
      <c r="AQ18" s="1" t="e">
        <f>IF(AND(ISNUMBER(Table1[[#This Row],[Max Chip Thermal Density (W/cm2)]]),Table1[[#This Row],[Frequency (GHz)]]&gt;=50,Table1[[#This Row],[Frequency (GHz)]]&lt;75),Table1[[#This Row],[Max Chip Thermal Density (W/cm2)]],#N/A)</f>
        <v>#N/A</v>
      </c>
      <c r="AR18" s="1" t="e">
        <f>IF(AND(ISNUMBER(Table1[[#This Row],[Max Chip Thermal Density (W/cm2)]]),Table1[[#This Row],[Frequency (GHz)]]&gt;=75,Table1[[#This Row],[Frequency (GHz)]]&lt;110),Table1[[#This Row],[Max Chip Thermal Density (W/cm2)]],#N/A)</f>
        <v>#N/A</v>
      </c>
      <c r="AS18" s="1" t="e">
        <f>IF(AND(ISNUMBER(Table1[[#This Row],[Max Chip Thermal Density (W/cm2)]]),Table1[[#This Row],[Frequency (GHz)]]&gt;=110,Table1[[#This Row],[Frequency (GHz)]]&lt;170),Table1[[#This Row],[Max Chip Thermal Density (W/cm2)]],#N/A)</f>
        <v>#N/A</v>
      </c>
      <c r="AT18" s="1" t="e">
        <f>IF(AND(ISNUMBER(Table1[[#This Row],[Max Chip Thermal Density (W/cm2)]]),Table1[[#This Row],[Frequency (GHz)]]&gt;=170,Table1[[#This Row],[Frequency (GHz)]]&lt;260),Table1[[#This Row],[Max Chip Thermal Density (W/cm2)]],#N/A)</f>
        <v>#N/A</v>
      </c>
      <c r="AU18" s="1" t="e">
        <f>IF(AND(ISNUMBER(Table1[[#This Row],[Max Chip Thermal Density (W/cm2)]]),Table1[[#This Row],[Frequency (GHz)]]&gt;=260),Table1[[#This Row],[Max Chip Thermal Density (W/cm2)]],#N/A)</f>
        <v>#N/A</v>
      </c>
    </row>
    <row r="19" spans="1:47" x14ac:dyDescent="0.2">
      <c r="A19" s="25">
        <f>IF(ISNUMBER(Table1[[#This Row],[Total Pout/Prad (dBm)]]),Table1[[#This Row],[Total Pout/Prad (dBm)]],#N/A)</f>
        <v>-6.9897000433601875</v>
      </c>
      <c r="B19" s="1">
        <f>IF(ISNUMBER(Table1[[#This Row],[Total Pout/Prad (dBm)]]),Table1[[#This Row],[Total '# of TX Elements]],#N/A)</f>
        <v>8</v>
      </c>
      <c r="C19" s="1">
        <f>IF(ISNUMBER(Table1[[#This Row],[TX EIRP (dBm)]]),Table1[[#This Row],[TX EIRP (dBm)]],#N/A)</f>
        <v>8</v>
      </c>
      <c r="D19" s="1">
        <f>Table1[[#This Row],[TX Pdc (W)]]</f>
        <v>1.5</v>
      </c>
      <c r="E19" s="1">
        <f>IF(ISNUMBER(Table1[[#This Row],[Array Aperture Size (cm2)]]),Table1[[#This Row],[Array Aperture Size (cm2)]],IF(Table1[[#This Row],[Antenna on (None, Chip, AiP, PCB)]]="Chip",Table1[[#This Row],[Chip Core Size - X (mm)]]*Table1[[#This Row],[Chip Core Size -Y (mm)]]/100*Table1[[#This Row],['# of IC per Tile]]*Table1[[#This Row],['# of Array Tile]],#N/A))</f>
        <v>8.6999999999999994E-2</v>
      </c>
      <c r="F19" s="1">
        <f t="shared" si="0"/>
        <v>1.3333333333333336E-2</v>
      </c>
      <c r="G19" s="1">
        <f t="shared" si="1"/>
        <v>0.42063822965346231</v>
      </c>
      <c r="L19" s="1" t="e">
        <f>IF(Table1[[#This Row],[Frequency (GHz)]]&lt;20,Plot_Data_Power!F19,#N/A)</f>
        <v>#N/A</v>
      </c>
      <c r="M19" s="1" t="e">
        <f>IF(AND(Table1[[#This Row],[Frequency (GHz)]]&gt;=20,Table1[[#This Row],[Frequency (GHz)]]&lt;50),Plot_Data_Power!F19,#N/A)</f>
        <v>#N/A</v>
      </c>
      <c r="N19" s="1" t="e">
        <f>IF(AND(Table1[[#This Row],[Frequency (GHz)]]&gt;=50,Table1[[#This Row],[Frequency (GHz)]]&lt;75),Plot_Data_Power!F19,#N/A)</f>
        <v>#N/A</v>
      </c>
      <c r="O19" s="1" t="e">
        <f>IF(AND(Table1[[#This Row],[Frequency (GHz)]]&gt;=75,Table1[[#This Row],[Frequency (GHz)]]&lt;110),Plot_Data_Power!F19,#N/A)</f>
        <v>#N/A</v>
      </c>
      <c r="P19" s="1" t="e">
        <f>IF(AND(Table1[[#This Row],[Frequency (GHz)]]&gt;=110,Table1[[#This Row],[Frequency (GHz)]]&lt;170),Plot_Data_Power!F19,#N/A)</f>
        <v>#N/A</v>
      </c>
      <c r="Q19" s="1" t="e">
        <f>IF(AND(Table1[[#This Row],[Frequency (GHz)]]&gt;=170,Table1[[#This Row],[Frequency (GHz)]]&lt;260),Plot_Data_Power!F19,#N/A)</f>
        <v>#N/A</v>
      </c>
      <c r="R19" s="1">
        <f>IF(Table1[[#This Row],[Frequency (GHz)]]&gt;=260,Plot_Data_Power!F19,#N/A)</f>
        <v>1.3333333333333336E-2</v>
      </c>
      <c r="U19" s="1" t="e">
        <f>IF(Table1[[#This Row],[Frequency (GHz)]]&lt;20,Plot_Data_Power!G19,#N/A)</f>
        <v>#N/A</v>
      </c>
      <c r="V19" s="1" t="e">
        <f>IF(AND(Table1[[#This Row],[Frequency (GHz)]]&gt;=20,Table1[[#This Row],[Frequency (GHz)]]&lt;50),Plot_Data_Power!G19,#N/A)</f>
        <v>#N/A</v>
      </c>
      <c r="W19" s="1" t="e">
        <f>IF(AND(Table1[[#This Row],[Frequency (GHz)]]&gt;=50,Table1[[#This Row],[Frequency (GHz)]]&lt;75),Plot_Data_Power!G19,#N/A)</f>
        <v>#N/A</v>
      </c>
      <c r="X19" s="1" t="e">
        <f>IF(AND(Table1[[#This Row],[Frequency (GHz)]]&gt;=75,Table1[[#This Row],[Frequency (GHz)]]&lt;110),Plot_Data_Power!G19,#N/A)</f>
        <v>#N/A</v>
      </c>
      <c r="Y19" s="1" t="e">
        <f>IF(AND(Table1[[#This Row],[Frequency (GHz)]]&gt;=110,Table1[[#This Row],[Frequency (GHz)]]&lt;170),Plot_Data_Power!G19,#N/A)</f>
        <v>#N/A</v>
      </c>
      <c r="Z19" s="1" t="e">
        <f>IF(AND(Table1[[#This Row],[Frequency (GHz)]]&gt;=170,Table1[[#This Row],[Frequency (GHz)]]&lt;260),Plot_Data_Power!G19,#N/A)</f>
        <v>#N/A</v>
      </c>
      <c r="AA19" s="1">
        <f>IF(Table1[[#This Row],[Frequency (GHz)]]&gt;=260,Plot_Data_Power!G19,#N/A)</f>
        <v>0.42063822965346231</v>
      </c>
      <c r="AD19" s="1">
        <f>IF(ISNUMBER(Table1[[#This Row],[Max Package Thermal Density (W/cm2)]]),Table1[[#This Row],[Max Package Thermal Density (W/cm2)]],#N/A)</f>
        <v>17.241379310344829</v>
      </c>
      <c r="AE19" s="1" t="e">
        <f>IF(AND(ISNUMBER((Table1[[#This Row],[Max Package Thermal Density (W/cm2)]])),Table1[[#This Row],[Frequency (GHz)]]&lt;20),Table1[[#This Row],[Max Package Thermal Density (W/cm2)]],#N/A)</f>
        <v>#N/A</v>
      </c>
      <c r="AF19" s="1" t="e">
        <f>IF(AND(ISNUMBER(Table1[[#This Row],[Max Package Thermal Density (W/cm2)]]),Table1[[#This Row],[Frequency (GHz)]]&gt;=20,Table1[[#This Row],[Frequency (GHz)]]&lt;50),Table1[[#This Row],[Max Package Thermal Density (W/cm2)]],#N/A)</f>
        <v>#N/A</v>
      </c>
      <c r="AG19" s="1" t="e">
        <f>IF(AND(ISNUMBER(Table1[[#This Row],[Max Package Thermal Density (W/cm2)]]),Table1[[#This Row],[Frequency (GHz)]]&gt;=50,Table1[[#This Row],[Frequency (GHz)]]&lt;75),Table1[[#This Row],[Max Package Thermal Density (W/cm2)]],#N/A)</f>
        <v>#N/A</v>
      </c>
      <c r="AH19" s="1" t="e">
        <f>IF(AND(ISNUMBER(Table1[[#This Row],[Max Package Thermal Density (W/cm2)]]),Table1[[#This Row],[Frequency (GHz)]]&gt;=75,Table1[[#This Row],[Frequency (GHz)]]&lt;110),Table1[[#This Row],[Max Package Thermal Density (W/cm2)]],#N/A)</f>
        <v>#N/A</v>
      </c>
      <c r="AI19" s="1" t="e">
        <f>IF(AND(ISNUMBER(Table1[[#This Row],[Max Package Thermal Density (W/cm2)]]),Table1[[#This Row],[Frequency (GHz)]]&gt;=110,Table1[[#This Row],[Frequency (GHz)]]&lt;170),Table1[[#This Row],[Max Package Thermal Density (W/cm2)]],#N/A)</f>
        <v>#N/A</v>
      </c>
      <c r="AJ19" s="1" t="e">
        <f>IF(AND(ISNUMBER(Table1[[#This Row],[Max Package Thermal Density (W/cm2)]]),Table1[[#This Row],[Frequency (GHz)]]&gt;=170,Table1[[#This Row],[Frequency (GHz)]]&lt;260),Table1[[#This Row],[Max Package Thermal Density (W/cm2)]],#N/A)</f>
        <v>#N/A</v>
      </c>
      <c r="AK19" s="1">
        <f>IF(AND(ISNUMBER(Table1[[#This Row],[Max Package Thermal Density (W/cm2)]]),Table1[[#This Row],[Frequency (GHz)]]&gt;=260),Table1[[#This Row],[Max Package Thermal Density (W/cm2)]],#N/A)</f>
        <v>17.241379310344829</v>
      </c>
      <c r="AN19" s="1">
        <f>IF(ISNUMBER(Table1[[#This Row],[Max Chip Thermal Density (W/cm2)]]),Table1[[#This Row],[Max Chip Thermal Density (W/cm2)]],#N/A)</f>
        <v>14.285714285714286</v>
      </c>
      <c r="AO19" s="1" t="e">
        <f>IF(AND(ISNUMBER((Table1[[#This Row],[Max Chip Thermal Density (W/cm2)]])),Table1[[#This Row],[Frequency (GHz)]]&lt;20),Table1[[#This Row],[Max Chip Thermal Density (W/cm2)]],#N/A)</f>
        <v>#N/A</v>
      </c>
      <c r="AP19" s="1" t="e">
        <f>IF(AND(ISNUMBER(Table1[[#This Row],[Max Chip Thermal Density (W/cm2)]]),Table1[[#This Row],[Frequency (GHz)]]&gt;=20,Table1[[#This Row],[Frequency (GHz)]]&lt;50),Table1[[#This Row],[Max Chip Thermal Density (W/cm2)]],#N/A)</f>
        <v>#N/A</v>
      </c>
      <c r="AQ19" s="1" t="e">
        <f>IF(AND(ISNUMBER(Table1[[#This Row],[Max Chip Thermal Density (W/cm2)]]),Table1[[#This Row],[Frequency (GHz)]]&gt;=50,Table1[[#This Row],[Frequency (GHz)]]&lt;75),Table1[[#This Row],[Max Chip Thermal Density (W/cm2)]],#N/A)</f>
        <v>#N/A</v>
      </c>
      <c r="AR19" s="1" t="e">
        <f>IF(AND(ISNUMBER(Table1[[#This Row],[Max Chip Thermal Density (W/cm2)]]),Table1[[#This Row],[Frequency (GHz)]]&gt;=75,Table1[[#This Row],[Frequency (GHz)]]&lt;110),Table1[[#This Row],[Max Chip Thermal Density (W/cm2)]],#N/A)</f>
        <v>#N/A</v>
      </c>
      <c r="AS19" s="1" t="e">
        <f>IF(AND(ISNUMBER(Table1[[#This Row],[Max Chip Thermal Density (W/cm2)]]),Table1[[#This Row],[Frequency (GHz)]]&gt;=110,Table1[[#This Row],[Frequency (GHz)]]&lt;170),Table1[[#This Row],[Max Chip Thermal Density (W/cm2)]],#N/A)</f>
        <v>#N/A</v>
      </c>
      <c r="AT19" s="1" t="e">
        <f>IF(AND(ISNUMBER(Table1[[#This Row],[Max Chip Thermal Density (W/cm2)]]),Table1[[#This Row],[Frequency (GHz)]]&gt;=170,Table1[[#This Row],[Frequency (GHz)]]&lt;260),Table1[[#This Row],[Max Chip Thermal Density (W/cm2)]],#N/A)</f>
        <v>#N/A</v>
      </c>
      <c r="AU19" s="1">
        <f>IF(AND(ISNUMBER(Table1[[#This Row],[Max Chip Thermal Density (W/cm2)]]),Table1[[#This Row],[Frequency (GHz)]]&gt;=260),Table1[[#This Row],[Max Chip Thermal Density (W/cm2)]],#N/A)</f>
        <v>14.285714285714286</v>
      </c>
    </row>
    <row r="20" spans="1:47" x14ac:dyDescent="0.2">
      <c r="A20" s="25">
        <f>IF(ISNUMBER(Table1[[#This Row],[Total Pout/Prad (dBm)]]),Table1[[#This Row],[Total Pout/Prad (dBm)]],#N/A)</f>
        <v>21.061799739838875</v>
      </c>
      <c r="B20" s="1">
        <f>IF(ISNUMBER(Table1[[#This Row],[Total Pout/Prad (dBm)]]),Table1[[#This Row],[Total '# of TX Elements]],#N/A)</f>
        <v>64</v>
      </c>
      <c r="C20" s="1">
        <f>IF(ISNUMBER(Table1[[#This Row],[TX EIRP (dBm)]]),Table1[[#This Row],[TX EIRP (dBm)]],#N/A)</f>
        <v>38</v>
      </c>
      <c r="D20" s="1">
        <f>Table1[[#This Row],[TX Pdc (W)]]</f>
        <v>7</v>
      </c>
      <c r="E20" s="1">
        <f>IF(ISNUMBER(Table1[[#This Row],[Array Aperture Size (cm2)]]),Table1[[#This Row],[Array Aperture Size (cm2)]],IF(Table1[[#This Row],[Antenna on (None, Chip, AiP, PCB)]]="Chip",Table1[[#This Row],[Chip Core Size - X (mm)]]*Table1[[#This Row],[Chip Core Size -Y (mm)]]/100*Table1[[#This Row],['# of IC per Tile]]*Table1[[#This Row],['# of Array Tile]],#N/A))</f>
        <v>4.7080000000000011</v>
      </c>
      <c r="F20" s="1">
        <f t="shared" si="0"/>
        <v>1.824239830828692</v>
      </c>
      <c r="G20" s="1">
        <f t="shared" si="1"/>
        <v>90.136763497170563</v>
      </c>
      <c r="L20" s="1" t="e">
        <f>IF(Table1[[#This Row],[Frequency (GHz)]]&lt;20,Plot_Data_Power!F20,#N/A)</f>
        <v>#N/A</v>
      </c>
      <c r="M20" s="1" t="e">
        <f>IF(AND(Table1[[#This Row],[Frequency (GHz)]]&gt;=20,Table1[[#This Row],[Frequency (GHz)]]&lt;50),Plot_Data_Power!F20,#N/A)</f>
        <v>#N/A</v>
      </c>
      <c r="N20" s="1">
        <f>IF(AND(Table1[[#This Row],[Frequency (GHz)]]&gt;=50,Table1[[#This Row],[Frequency (GHz)]]&lt;75),Plot_Data_Power!F20,#N/A)</f>
        <v>1.824239830828692</v>
      </c>
      <c r="O20" s="1" t="e">
        <f>IF(AND(Table1[[#This Row],[Frequency (GHz)]]&gt;=75,Table1[[#This Row],[Frequency (GHz)]]&lt;110),Plot_Data_Power!F20,#N/A)</f>
        <v>#N/A</v>
      </c>
      <c r="P20" s="1" t="e">
        <f>IF(AND(Table1[[#This Row],[Frequency (GHz)]]&gt;=110,Table1[[#This Row],[Frequency (GHz)]]&lt;170),Plot_Data_Power!F20,#N/A)</f>
        <v>#N/A</v>
      </c>
      <c r="Q20" s="1" t="e">
        <f>IF(AND(Table1[[#This Row],[Frequency (GHz)]]&gt;=170,Table1[[#This Row],[Frequency (GHz)]]&lt;260),Plot_Data_Power!F20,#N/A)</f>
        <v>#N/A</v>
      </c>
      <c r="R20" s="1" t="e">
        <f>IF(Table1[[#This Row],[Frequency (GHz)]]&gt;=260,Plot_Data_Power!F20,#N/A)</f>
        <v>#N/A</v>
      </c>
      <c r="U20" s="1" t="e">
        <f>IF(Table1[[#This Row],[Frequency (GHz)]]&lt;20,Plot_Data_Power!G20,#N/A)</f>
        <v>#N/A</v>
      </c>
      <c r="V20" s="1" t="e">
        <f>IF(AND(Table1[[#This Row],[Frequency (GHz)]]&gt;=20,Table1[[#This Row],[Frequency (GHz)]]&lt;50),Plot_Data_Power!G20,#N/A)</f>
        <v>#N/A</v>
      </c>
      <c r="W20" s="1">
        <f>IF(AND(Table1[[#This Row],[Frequency (GHz)]]&gt;=50,Table1[[#This Row],[Frequency (GHz)]]&lt;75),Plot_Data_Power!G20,#N/A)</f>
        <v>90.136763497170563</v>
      </c>
      <c r="X20" s="1" t="e">
        <f>IF(AND(Table1[[#This Row],[Frequency (GHz)]]&gt;=75,Table1[[#This Row],[Frequency (GHz)]]&lt;110),Plot_Data_Power!G20,#N/A)</f>
        <v>#N/A</v>
      </c>
      <c r="Y20" s="1" t="e">
        <f>IF(AND(Table1[[#This Row],[Frequency (GHz)]]&gt;=110,Table1[[#This Row],[Frequency (GHz)]]&lt;170),Plot_Data_Power!G20,#N/A)</f>
        <v>#N/A</v>
      </c>
      <c r="Z20" s="1" t="e">
        <f>IF(AND(Table1[[#This Row],[Frequency (GHz)]]&gt;=170,Table1[[#This Row],[Frequency (GHz)]]&lt;260),Plot_Data_Power!G20,#N/A)</f>
        <v>#N/A</v>
      </c>
      <c r="AA20" s="1" t="e">
        <f>IF(Table1[[#This Row],[Frequency (GHz)]]&gt;=260,Plot_Data_Power!G20,#N/A)</f>
        <v>#N/A</v>
      </c>
      <c r="AD20" s="1">
        <f>IF(ISNUMBER(Table1[[#This Row],[Max Package Thermal Density (W/cm2)]]),Table1[[#This Row],[Max Package Thermal Density (W/cm2)]],#N/A)</f>
        <v>1.4868309260832622</v>
      </c>
      <c r="AE20" s="1" t="e">
        <f>IF(AND(ISNUMBER((Table1[[#This Row],[Max Package Thermal Density (W/cm2)]])),Table1[[#This Row],[Frequency (GHz)]]&lt;20),Table1[[#This Row],[Max Package Thermal Density (W/cm2)]],#N/A)</f>
        <v>#N/A</v>
      </c>
      <c r="AF20" s="1" t="e">
        <f>IF(AND(ISNUMBER(Table1[[#This Row],[Max Package Thermal Density (W/cm2)]]),Table1[[#This Row],[Frequency (GHz)]]&gt;=20,Table1[[#This Row],[Frequency (GHz)]]&lt;50),Table1[[#This Row],[Max Package Thermal Density (W/cm2)]],#N/A)</f>
        <v>#N/A</v>
      </c>
      <c r="AG20" s="1">
        <f>IF(AND(ISNUMBER(Table1[[#This Row],[Max Package Thermal Density (W/cm2)]]),Table1[[#This Row],[Frequency (GHz)]]&gt;=50,Table1[[#This Row],[Frequency (GHz)]]&lt;75),Table1[[#This Row],[Max Package Thermal Density (W/cm2)]],#N/A)</f>
        <v>1.4868309260832622</v>
      </c>
      <c r="AH20" s="1" t="e">
        <f>IF(AND(ISNUMBER(Table1[[#This Row],[Max Package Thermal Density (W/cm2)]]),Table1[[#This Row],[Frequency (GHz)]]&gt;=75,Table1[[#This Row],[Frequency (GHz)]]&lt;110),Table1[[#This Row],[Max Package Thermal Density (W/cm2)]],#N/A)</f>
        <v>#N/A</v>
      </c>
      <c r="AI20" s="1" t="e">
        <f>IF(AND(ISNUMBER(Table1[[#This Row],[Max Package Thermal Density (W/cm2)]]),Table1[[#This Row],[Frequency (GHz)]]&gt;=110,Table1[[#This Row],[Frequency (GHz)]]&lt;170),Table1[[#This Row],[Max Package Thermal Density (W/cm2)]],#N/A)</f>
        <v>#N/A</v>
      </c>
      <c r="AJ20" s="1" t="e">
        <f>IF(AND(ISNUMBER(Table1[[#This Row],[Max Package Thermal Density (W/cm2)]]),Table1[[#This Row],[Frequency (GHz)]]&gt;=170,Table1[[#This Row],[Frequency (GHz)]]&lt;260),Table1[[#This Row],[Max Package Thermal Density (W/cm2)]],#N/A)</f>
        <v>#N/A</v>
      </c>
      <c r="AK20" s="1" t="e">
        <f>IF(AND(ISNUMBER(Table1[[#This Row],[Max Package Thermal Density (W/cm2)]]),Table1[[#This Row],[Frequency (GHz)]]&gt;=260),Table1[[#This Row],[Max Package Thermal Density (W/cm2)]],#N/A)</f>
        <v>#N/A</v>
      </c>
      <c r="AN20" s="1">
        <f>IF(ISNUMBER(Table1[[#This Row],[Max Chip Thermal Density (W/cm2)]]),Table1[[#This Row],[Max Chip Thermal Density (W/cm2)]],#N/A)</f>
        <v>1.75</v>
      </c>
      <c r="AO20" s="1" t="e">
        <f>IF(AND(ISNUMBER((Table1[[#This Row],[Max Chip Thermal Density (W/cm2)]])),Table1[[#This Row],[Frequency (GHz)]]&lt;20),Table1[[#This Row],[Max Chip Thermal Density (W/cm2)]],#N/A)</f>
        <v>#N/A</v>
      </c>
      <c r="AP20" s="1" t="e">
        <f>IF(AND(ISNUMBER(Table1[[#This Row],[Max Chip Thermal Density (W/cm2)]]),Table1[[#This Row],[Frequency (GHz)]]&gt;=20,Table1[[#This Row],[Frequency (GHz)]]&lt;50),Table1[[#This Row],[Max Chip Thermal Density (W/cm2)]],#N/A)</f>
        <v>#N/A</v>
      </c>
      <c r="AQ20" s="1">
        <f>IF(AND(ISNUMBER(Table1[[#This Row],[Max Chip Thermal Density (W/cm2)]]),Table1[[#This Row],[Frequency (GHz)]]&gt;=50,Table1[[#This Row],[Frequency (GHz)]]&lt;75),Table1[[#This Row],[Max Chip Thermal Density (W/cm2)]],#N/A)</f>
        <v>1.75</v>
      </c>
      <c r="AR20" s="1" t="e">
        <f>IF(AND(ISNUMBER(Table1[[#This Row],[Max Chip Thermal Density (W/cm2)]]),Table1[[#This Row],[Frequency (GHz)]]&gt;=75,Table1[[#This Row],[Frequency (GHz)]]&lt;110),Table1[[#This Row],[Max Chip Thermal Density (W/cm2)]],#N/A)</f>
        <v>#N/A</v>
      </c>
      <c r="AS20" s="1" t="e">
        <f>IF(AND(ISNUMBER(Table1[[#This Row],[Max Chip Thermal Density (W/cm2)]]),Table1[[#This Row],[Frequency (GHz)]]&gt;=110,Table1[[#This Row],[Frequency (GHz)]]&lt;170),Table1[[#This Row],[Max Chip Thermal Density (W/cm2)]],#N/A)</f>
        <v>#N/A</v>
      </c>
      <c r="AT20" s="1" t="e">
        <f>IF(AND(ISNUMBER(Table1[[#This Row],[Max Chip Thermal Density (W/cm2)]]),Table1[[#This Row],[Frequency (GHz)]]&gt;=170,Table1[[#This Row],[Frequency (GHz)]]&lt;260),Table1[[#This Row],[Max Chip Thermal Density (W/cm2)]],#N/A)</f>
        <v>#N/A</v>
      </c>
      <c r="AU20" s="1" t="e">
        <f>IF(AND(ISNUMBER(Table1[[#This Row],[Max Chip Thermal Density (W/cm2)]]),Table1[[#This Row],[Frequency (GHz)]]&gt;=260),Table1[[#This Row],[Max Chip Thermal Density (W/cm2)]],#N/A)</f>
        <v>#N/A</v>
      </c>
    </row>
    <row r="21" spans="1:47" x14ac:dyDescent="0.2">
      <c r="A21" s="25">
        <f>IF(ISNUMBER(Table1[[#This Row],[Total Pout/Prad (dBm)]]),Table1[[#This Row],[Total Pout/Prad (dBm)]],#N/A)</f>
        <v>27.082399653118493</v>
      </c>
      <c r="B21" s="1">
        <f>IF(ISNUMBER(Table1[[#This Row],[Total Pout/Prad (dBm)]]),Table1[[#This Row],[Total '# of TX Elements]],#N/A)</f>
        <v>256</v>
      </c>
      <c r="C21" s="1">
        <f>IF(ISNUMBER(Table1[[#This Row],[TX EIRP (dBm)]]),Table1[[#This Row],[TX EIRP (dBm)]],#N/A)</f>
        <v>45</v>
      </c>
      <c r="D21" s="1">
        <f>Table1[[#This Row],[TX Pdc (W)]]</f>
        <v>32</v>
      </c>
      <c r="E21" s="1">
        <f>IF(ISNUMBER(Table1[[#This Row],[Array Aperture Size (cm2)]]),Table1[[#This Row],[Array Aperture Size (cm2)]],IF(Table1[[#This Row],[Antenna on (None, Chip, AiP, PCB)]]="Chip",Table1[[#This Row],[Chip Core Size - X (mm)]]*Table1[[#This Row],[Chip Core Size -Y (mm)]]/100*Table1[[#This Row],['# of IC per Tile]]*Table1[[#This Row],['# of Array Tile]],#N/A))</f>
        <v>17.387999999999998</v>
      </c>
      <c r="F21" s="1">
        <f t="shared" si="0"/>
        <v>1.5962098519751045</v>
      </c>
      <c r="G21" s="1">
        <f t="shared" si="1"/>
        <v>98.821176880262001</v>
      </c>
      <c r="L21" s="1" t="e">
        <f>IF(Table1[[#This Row],[Frequency (GHz)]]&lt;20,Plot_Data_Power!F21,#N/A)</f>
        <v>#N/A</v>
      </c>
      <c r="M21" s="1" t="e">
        <f>IF(AND(Table1[[#This Row],[Frequency (GHz)]]&gt;=20,Table1[[#This Row],[Frequency (GHz)]]&lt;50),Plot_Data_Power!F21,#N/A)</f>
        <v>#N/A</v>
      </c>
      <c r="N21" s="1">
        <f>IF(AND(Table1[[#This Row],[Frequency (GHz)]]&gt;=50,Table1[[#This Row],[Frequency (GHz)]]&lt;75),Plot_Data_Power!F21,#N/A)</f>
        <v>1.5962098519751045</v>
      </c>
      <c r="O21" s="1" t="e">
        <f>IF(AND(Table1[[#This Row],[Frequency (GHz)]]&gt;=75,Table1[[#This Row],[Frequency (GHz)]]&lt;110),Plot_Data_Power!F21,#N/A)</f>
        <v>#N/A</v>
      </c>
      <c r="P21" s="1" t="e">
        <f>IF(AND(Table1[[#This Row],[Frequency (GHz)]]&gt;=110,Table1[[#This Row],[Frequency (GHz)]]&lt;170),Plot_Data_Power!F21,#N/A)</f>
        <v>#N/A</v>
      </c>
      <c r="Q21" s="1" t="e">
        <f>IF(AND(Table1[[#This Row],[Frequency (GHz)]]&gt;=170,Table1[[#This Row],[Frequency (GHz)]]&lt;260),Plot_Data_Power!F21,#N/A)</f>
        <v>#N/A</v>
      </c>
      <c r="R21" s="1" t="e">
        <f>IF(Table1[[#This Row],[Frequency (GHz)]]&gt;=260,Plot_Data_Power!F21,#N/A)</f>
        <v>#N/A</v>
      </c>
      <c r="U21" s="1" t="e">
        <f>IF(Table1[[#This Row],[Frequency (GHz)]]&lt;20,Plot_Data_Power!G21,#N/A)</f>
        <v>#N/A</v>
      </c>
      <c r="V21" s="1" t="e">
        <f>IF(AND(Table1[[#This Row],[Frequency (GHz)]]&gt;=20,Table1[[#This Row],[Frequency (GHz)]]&lt;50),Plot_Data_Power!G21,#N/A)</f>
        <v>#N/A</v>
      </c>
      <c r="W21" s="1">
        <f>IF(AND(Table1[[#This Row],[Frequency (GHz)]]&gt;=50,Table1[[#This Row],[Frequency (GHz)]]&lt;75),Plot_Data_Power!G21,#N/A)</f>
        <v>98.821176880262001</v>
      </c>
      <c r="X21" s="1" t="e">
        <f>IF(AND(Table1[[#This Row],[Frequency (GHz)]]&gt;=75,Table1[[#This Row],[Frequency (GHz)]]&lt;110),Plot_Data_Power!G21,#N/A)</f>
        <v>#N/A</v>
      </c>
      <c r="Y21" s="1" t="e">
        <f>IF(AND(Table1[[#This Row],[Frequency (GHz)]]&gt;=110,Table1[[#This Row],[Frequency (GHz)]]&lt;170),Plot_Data_Power!G21,#N/A)</f>
        <v>#N/A</v>
      </c>
      <c r="Z21" s="1" t="e">
        <f>IF(AND(Table1[[#This Row],[Frequency (GHz)]]&gt;=170,Table1[[#This Row],[Frequency (GHz)]]&lt;260),Plot_Data_Power!G21,#N/A)</f>
        <v>#N/A</v>
      </c>
      <c r="AA21" s="1" t="e">
        <f>IF(Table1[[#This Row],[Frequency (GHz)]]&gt;=260,Plot_Data_Power!G21,#N/A)</f>
        <v>#N/A</v>
      </c>
      <c r="AD21" s="1">
        <f>IF(ISNUMBER(Table1[[#This Row],[Max Package Thermal Density (W/cm2)]]),Table1[[#This Row],[Max Package Thermal Density (W/cm2)]],#N/A)</f>
        <v>1.8403496664366232</v>
      </c>
      <c r="AE21" s="1" t="e">
        <f>IF(AND(ISNUMBER((Table1[[#This Row],[Max Package Thermal Density (W/cm2)]])),Table1[[#This Row],[Frequency (GHz)]]&lt;20),Table1[[#This Row],[Max Package Thermal Density (W/cm2)]],#N/A)</f>
        <v>#N/A</v>
      </c>
      <c r="AF21" s="1" t="e">
        <f>IF(AND(ISNUMBER(Table1[[#This Row],[Max Package Thermal Density (W/cm2)]]),Table1[[#This Row],[Frequency (GHz)]]&gt;=20,Table1[[#This Row],[Frequency (GHz)]]&lt;50),Table1[[#This Row],[Max Package Thermal Density (W/cm2)]],#N/A)</f>
        <v>#N/A</v>
      </c>
      <c r="AG21" s="1">
        <f>IF(AND(ISNUMBER(Table1[[#This Row],[Max Package Thermal Density (W/cm2)]]),Table1[[#This Row],[Frequency (GHz)]]&gt;=50,Table1[[#This Row],[Frequency (GHz)]]&lt;75),Table1[[#This Row],[Max Package Thermal Density (W/cm2)]],#N/A)</f>
        <v>1.8403496664366232</v>
      </c>
      <c r="AH21" s="1" t="e">
        <f>IF(AND(ISNUMBER(Table1[[#This Row],[Max Package Thermal Density (W/cm2)]]),Table1[[#This Row],[Frequency (GHz)]]&gt;=75,Table1[[#This Row],[Frequency (GHz)]]&lt;110),Table1[[#This Row],[Max Package Thermal Density (W/cm2)]],#N/A)</f>
        <v>#N/A</v>
      </c>
      <c r="AI21" s="1" t="e">
        <f>IF(AND(ISNUMBER(Table1[[#This Row],[Max Package Thermal Density (W/cm2)]]),Table1[[#This Row],[Frequency (GHz)]]&gt;=110,Table1[[#This Row],[Frequency (GHz)]]&lt;170),Table1[[#This Row],[Max Package Thermal Density (W/cm2)]],#N/A)</f>
        <v>#N/A</v>
      </c>
      <c r="AJ21" s="1" t="e">
        <f>IF(AND(ISNUMBER(Table1[[#This Row],[Max Package Thermal Density (W/cm2)]]),Table1[[#This Row],[Frequency (GHz)]]&gt;=170,Table1[[#This Row],[Frequency (GHz)]]&lt;260),Table1[[#This Row],[Max Package Thermal Density (W/cm2)]],#N/A)</f>
        <v>#N/A</v>
      </c>
      <c r="AK21" s="1" t="e">
        <f>IF(AND(ISNUMBER(Table1[[#This Row],[Max Package Thermal Density (W/cm2)]]),Table1[[#This Row],[Frequency (GHz)]]&gt;=260),Table1[[#This Row],[Max Package Thermal Density (W/cm2)]],#N/A)</f>
        <v>#N/A</v>
      </c>
      <c r="AN21" s="1">
        <f>IF(ISNUMBER(Table1[[#This Row],[Max Chip Thermal Density (W/cm2)]]),Table1[[#This Row],[Max Chip Thermal Density (W/cm2)]],#N/A)</f>
        <v>2</v>
      </c>
      <c r="AO21" s="1" t="e">
        <f>IF(AND(ISNUMBER((Table1[[#This Row],[Max Chip Thermal Density (W/cm2)]])),Table1[[#This Row],[Frequency (GHz)]]&lt;20),Table1[[#This Row],[Max Chip Thermal Density (W/cm2)]],#N/A)</f>
        <v>#N/A</v>
      </c>
      <c r="AP21" s="1" t="e">
        <f>IF(AND(ISNUMBER(Table1[[#This Row],[Max Chip Thermal Density (W/cm2)]]),Table1[[#This Row],[Frequency (GHz)]]&gt;=20,Table1[[#This Row],[Frequency (GHz)]]&lt;50),Table1[[#This Row],[Max Chip Thermal Density (W/cm2)]],#N/A)</f>
        <v>#N/A</v>
      </c>
      <c r="AQ21" s="1">
        <f>IF(AND(ISNUMBER(Table1[[#This Row],[Max Chip Thermal Density (W/cm2)]]),Table1[[#This Row],[Frequency (GHz)]]&gt;=50,Table1[[#This Row],[Frequency (GHz)]]&lt;75),Table1[[#This Row],[Max Chip Thermal Density (W/cm2)]],#N/A)</f>
        <v>2</v>
      </c>
      <c r="AR21" s="1" t="e">
        <f>IF(AND(ISNUMBER(Table1[[#This Row],[Max Chip Thermal Density (W/cm2)]]),Table1[[#This Row],[Frequency (GHz)]]&gt;=75,Table1[[#This Row],[Frequency (GHz)]]&lt;110),Table1[[#This Row],[Max Chip Thermal Density (W/cm2)]],#N/A)</f>
        <v>#N/A</v>
      </c>
      <c r="AS21" s="1" t="e">
        <f>IF(AND(ISNUMBER(Table1[[#This Row],[Max Chip Thermal Density (W/cm2)]]),Table1[[#This Row],[Frequency (GHz)]]&gt;=110,Table1[[#This Row],[Frequency (GHz)]]&lt;170),Table1[[#This Row],[Max Chip Thermal Density (W/cm2)]],#N/A)</f>
        <v>#N/A</v>
      </c>
      <c r="AT21" s="1" t="e">
        <f>IF(AND(ISNUMBER(Table1[[#This Row],[Max Chip Thermal Density (W/cm2)]]),Table1[[#This Row],[Frequency (GHz)]]&gt;=170,Table1[[#This Row],[Frequency (GHz)]]&lt;260),Table1[[#This Row],[Max Chip Thermal Density (W/cm2)]],#N/A)</f>
        <v>#N/A</v>
      </c>
      <c r="AU21" s="1" t="e">
        <f>IF(AND(ISNUMBER(Table1[[#This Row],[Max Chip Thermal Density (W/cm2)]]),Table1[[#This Row],[Frequency (GHz)]]&gt;=260),Table1[[#This Row],[Max Chip Thermal Density (W/cm2)]],#N/A)</f>
        <v>#N/A</v>
      </c>
    </row>
    <row r="22" spans="1:47" x14ac:dyDescent="0.2">
      <c r="A22" s="25">
        <f>IF(ISNUMBER(Table1[[#This Row],[Total Pout/Prad (dBm)]]),Table1[[#This Row],[Total Pout/Prad (dBm)]],#N/A)</f>
        <v>31</v>
      </c>
      <c r="B22" s="1">
        <f>IF(ISNUMBER(Table1[[#This Row],[Total Pout/Prad (dBm)]]),Table1[[#This Row],[Total '# of TX Elements]],#N/A)</f>
        <v>64</v>
      </c>
      <c r="C22" s="1" t="e">
        <f>IF(ISNUMBER(Table1[[#This Row],[TX EIRP (dBm)]]),Table1[[#This Row],[TX EIRP (dBm)]],#N/A)</f>
        <v>#N/A</v>
      </c>
      <c r="D22" s="1">
        <f>Table1[[#This Row],[TX Pdc (W)]]</f>
        <v>40.799999999999997</v>
      </c>
      <c r="E22"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22" s="1">
        <f t="shared" si="0"/>
        <v>3.0856014994955099</v>
      </c>
      <c r="G22" s="1" t="e">
        <f t="shared" si="1"/>
        <v>#N/A</v>
      </c>
      <c r="L22" s="1" t="e">
        <f>IF(Table1[[#This Row],[Frequency (GHz)]]&lt;20,Plot_Data_Power!F22,#N/A)</f>
        <v>#N/A</v>
      </c>
      <c r="M22" s="1">
        <f>IF(AND(Table1[[#This Row],[Frequency (GHz)]]&gt;=20,Table1[[#This Row],[Frequency (GHz)]]&lt;50),Plot_Data_Power!F22,#N/A)</f>
        <v>3.0856014994955099</v>
      </c>
      <c r="N22" s="1" t="e">
        <f>IF(AND(Table1[[#This Row],[Frequency (GHz)]]&gt;=50,Table1[[#This Row],[Frequency (GHz)]]&lt;75),Plot_Data_Power!F22,#N/A)</f>
        <v>#N/A</v>
      </c>
      <c r="O22" s="1" t="e">
        <f>IF(AND(Table1[[#This Row],[Frequency (GHz)]]&gt;=75,Table1[[#This Row],[Frequency (GHz)]]&lt;110),Plot_Data_Power!F22,#N/A)</f>
        <v>#N/A</v>
      </c>
      <c r="P22" s="1" t="e">
        <f>IF(AND(Table1[[#This Row],[Frequency (GHz)]]&gt;=110,Table1[[#This Row],[Frequency (GHz)]]&lt;170),Plot_Data_Power!F22,#N/A)</f>
        <v>#N/A</v>
      </c>
      <c r="Q22" s="1" t="e">
        <f>IF(AND(Table1[[#This Row],[Frequency (GHz)]]&gt;=170,Table1[[#This Row],[Frequency (GHz)]]&lt;260),Plot_Data_Power!F22,#N/A)</f>
        <v>#N/A</v>
      </c>
      <c r="R22" s="1" t="e">
        <f>IF(Table1[[#This Row],[Frequency (GHz)]]&gt;=260,Plot_Data_Power!F22,#N/A)</f>
        <v>#N/A</v>
      </c>
      <c r="U22" s="1" t="e">
        <f>IF(Table1[[#This Row],[Frequency (GHz)]]&lt;20,Plot_Data_Power!G22,#N/A)</f>
        <v>#N/A</v>
      </c>
      <c r="V22" s="1" t="e">
        <f>IF(AND(Table1[[#This Row],[Frequency (GHz)]]&gt;=20,Table1[[#This Row],[Frequency (GHz)]]&lt;50),Plot_Data_Power!G22,#N/A)</f>
        <v>#N/A</v>
      </c>
      <c r="W22" s="1" t="e">
        <f>IF(AND(Table1[[#This Row],[Frequency (GHz)]]&gt;=50,Table1[[#This Row],[Frequency (GHz)]]&lt;75),Plot_Data_Power!G22,#N/A)</f>
        <v>#N/A</v>
      </c>
      <c r="X22" s="1" t="e">
        <f>IF(AND(Table1[[#This Row],[Frequency (GHz)]]&gt;=75,Table1[[#This Row],[Frequency (GHz)]]&lt;110),Plot_Data_Power!G22,#N/A)</f>
        <v>#N/A</v>
      </c>
      <c r="Y22" s="1" t="e">
        <f>IF(AND(Table1[[#This Row],[Frequency (GHz)]]&gt;=110,Table1[[#This Row],[Frequency (GHz)]]&lt;170),Plot_Data_Power!G22,#N/A)</f>
        <v>#N/A</v>
      </c>
      <c r="Z22" s="1" t="e">
        <f>IF(AND(Table1[[#This Row],[Frequency (GHz)]]&gt;=170,Table1[[#This Row],[Frequency (GHz)]]&lt;260),Plot_Data_Power!G22,#N/A)</f>
        <v>#N/A</v>
      </c>
      <c r="AA22" s="1" t="e">
        <f>IF(Table1[[#This Row],[Frequency (GHz)]]&gt;=260,Plot_Data_Power!G22,#N/A)</f>
        <v>#N/A</v>
      </c>
      <c r="AD22" s="1" t="e">
        <f>IF(ISNUMBER(Table1[[#This Row],[Max Package Thermal Density (W/cm2)]]),Table1[[#This Row],[Max Package Thermal Density (W/cm2)]],#N/A)</f>
        <v>#N/A</v>
      </c>
      <c r="AE22" s="1" t="e">
        <f>IF(AND(ISNUMBER((Table1[[#This Row],[Max Package Thermal Density (W/cm2)]])),Table1[[#This Row],[Frequency (GHz)]]&lt;20),Table1[[#This Row],[Max Package Thermal Density (W/cm2)]],#N/A)</f>
        <v>#N/A</v>
      </c>
      <c r="AF22" s="1" t="e">
        <f>IF(AND(ISNUMBER(Table1[[#This Row],[Max Package Thermal Density (W/cm2)]]),Table1[[#This Row],[Frequency (GHz)]]&gt;=20,Table1[[#This Row],[Frequency (GHz)]]&lt;50),Table1[[#This Row],[Max Package Thermal Density (W/cm2)]],#N/A)</f>
        <v>#N/A</v>
      </c>
      <c r="AG22" s="1" t="e">
        <f>IF(AND(ISNUMBER(Table1[[#This Row],[Max Package Thermal Density (W/cm2)]]),Table1[[#This Row],[Frequency (GHz)]]&gt;=50,Table1[[#This Row],[Frequency (GHz)]]&lt;75),Table1[[#This Row],[Max Package Thermal Density (W/cm2)]],#N/A)</f>
        <v>#N/A</v>
      </c>
      <c r="AH22" s="1" t="e">
        <f>IF(AND(ISNUMBER(Table1[[#This Row],[Max Package Thermal Density (W/cm2)]]),Table1[[#This Row],[Frequency (GHz)]]&gt;=75,Table1[[#This Row],[Frequency (GHz)]]&lt;110),Table1[[#This Row],[Max Package Thermal Density (W/cm2)]],#N/A)</f>
        <v>#N/A</v>
      </c>
      <c r="AI22" s="1" t="e">
        <f>IF(AND(ISNUMBER(Table1[[#This Row],[Max Package Thermal Density (W/cm2)]]),Table1[[#This Row],[Frequency (GHz)]]&gt;=110,Table1[[#This Row],[Frequency (GHz)]]&lt;170),Table1[[#This Row],[Max Package Thermal Density (W/cm2)]],#N/A)</f>
        <v>#N/A</v>
      </c>
      <c r="AJ22" s="1" t="e">
        <f>IF(AND(ISNUMBER(Table1[[#This Row],[Max Package Thermal Density (W/cm2)]]),Table1[[#This Row],[Frequency (GHz)]]&gt;=170,Table1[[#This Row],[Frequency (GHz)]]&lt;260),Table1[[#This Row],[Max Package Thermal Density (W/cm2)]],#N/A)</f>
        <v>#N/A</v>
      </c>
      <c r="AK22" s="1" t="e">
        <f>IF(AND(ISNUMBER(Table1[[#This Row],[Max Package Thermal Density (W/cm2)]]),Table1[[#This Row],[Frequency (GHz)]]&gt;=260),Table1[[#This Row],[Max Package Thermal Density (W/cm2)]],#N/A)</f>
        <v>#N/A</v>
      </c>
      <c r="AN22" s="1">
        <f>IF(ISNUMBER(Table1[[#This Row],[Max Chip Thermal Density (W/cm2)]]),Table1[[#This Row],[Max Chip Thermal Density (W/cm2)]],#N/A)</f>
        <v>6.1482820976491857</v>
      </c>
      <c r="AO22" s="1" t="e">
        <f>IF(AND(ISNUMBER((Table1[[#This Row],[Max Chip Thermal Density (W/cm2)]])),Table1[[#This Row],[Frequency (GHz)]]&lt;20),Table1[[#This Row],[Max Chip Thermal Density (W/cm2)]],#N/A)</f>
        <v>#N/A</v>
      </c>
      <c r="AP22" s="1">
        <f>IF(AND(ISNUMBER(Table1[[#This Row],[Max Chip Thermal Density (W/cm2)]]),Table1[[#This Row],[Frequency (GHz)]]&gt;=20,Table1[[#This Row],[Frequency (GHz)]]&lt;50),Table1[[#This Row],[Max Chip Thermal Density (W/cm2)]],#N/A)</f>
        <v>6.1482820976491857</v>
      </c>
      <c r="AQ22" s="1" t="e">
        <f>IF(AND(ISNUMBER(Table1[[#This Row],[Max Chip Thermal Density (W/cm2)]]),Table1[[#This Row],[Frequency (GHz)]]&gt;=50,Table1[[#This Row],[Frequency (GHz)]]&lt;75),Table1[[#This Row],[Max Chip Thermal Density (W/cm2)]],#N/A)</f>
        <v>#N/A</v>
      </c>
      <c r="AR22" s="1" t="e">
        <f>IF(AND(ISNUMBER(Table1[[#This Row],[Max Chip Thermal Density (W/cm2)]]),Table1[[#This Row],[Frequency (GHz)]]&gt;=75,Table1[[#This Row],[Frequency (GHz)]]&lt;110),Table1[[#This Row],[Max Chip Thermal Density (W/cm2)]],#N/A)</f>
        <v>#N/A</v>
      </c>
      <c r="AS22" s="1" t="e">
        <f>IF(AND(ISNUMBER(Table1[[#This Row],[Max Chip Thermal Density (W/cm2)]]),Table1[[#This Row],[Frequency (GHz)]]&gt;=110,Table1[[#This Row],[Frequency (GHz)]]&lt;170),Table1[[#This Row],[Max Chip Thermal Density (W/cm2)]],#N/A)</f>
        <v>#N/A</v>
      </c>
      <c r="AT22" s="1" t="e">
        <f>IF(AND(ISNUMBER(Table1[[#This Row],[Max Chip Thermal Density (W/cm2)]]),Table1[[#This Row],[Frequency (GHz)]]&gt;=170,Table1[[#This Row],[Frequency (GHz)]]&lt;260),Table1[[#This Row],[Max Chip Thermal Density (W/cm2)]],#N/A)</f>
        <v>#N/A</v>
      </c>
      <c r="AU22" s="1" t="e">
        <f>IF(AND(ISNUMBER(Table1[[#This Row],[Max Chip Thermal Density (W/cm2)]]),Table1[[#This Row],[Frequency (GHz)]]&gt;=260),Table1[[#This Row],[Max Chip Thermal Density (W/cm2)]],#N/A)</f>
        <v>#N/A</v>
      </c>
    </row>
    <row r="23" spans="1:47" x14ac:dyDescent="0.2">
      <c r="A23" s="25">
        <f>IF(ISNUMBER(Table1[[#This Row],[Total Pout/Prad (dBm)]]),Table1[[#This Row],[Total Pout/Prad (dBm)]],#N/A)</f>
        <v>-11.5</v>
      </c>
      <c r="B23" s="1">
        <f>IF(ISNUMBER(Table1[[#This Row],[Total Pout/Prad (dBm)]]),Table1[[#This Row],[Total '# of TX Elements]],#N/A)</f>
        <v>1</v>
      </c>
      <c r="C23" s="1" t="e">
        <f>IF(ISNUMBER(Table1[[#This Row],[TX EIRP (dBm)]]),Table1[[#This Row],[TX EIRP (dBm)]],#N/A)</f>
        <v>#N/A</v>
      </c>
      <c r="D23" s="1">
        <f>Table1[[#This Row],[TX Pdc (W)]]</f>
        <v>6.5000000000000002E-2</v>
      </c>
      <c r="E23"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23" s="1">
        <f t="shared" si="0"/>
        <v>0.10891473605909813</v>
      </c>
      <c r="G23" s="1" t="e">
        <f t="shared" si="1"/>
        <v>#N/A</v>
      </c>
      <c r="L23" s="1" t="e">
        <f>IF(Table1[[#This Row],[Frequency (GHz)]]&lt;20,Plot_Data_Power!F23,#N/A)</f>
        <v>#N/A</v>
      </c>
      <c r="M23" s="1" t="e">
        <f>IF(AND(Table1[[#This Row],[Frequency (GHz)]]&gt;=20,Table1[[#This Row],[Frequency (GHz)]]&lt;50),Plot_Data_Power!F23,#N/A)</f>
        <v>#N/A</v>
      </c>
      <c r="N23" s="1" t="e">
        <f>IF(AND(Table1[[#This Row],[Frequency (GHz)]]&gt;=50,Table1[[#This Row],[Frequency (GHz)]]&lt;75),Plot_Data_Power!F23,#N/A)</f>
        <v>#N/A</v>
      </c>
      <c r="O23" s="1" t="e">
        <f>IF(AND(Table1[[#This Row],[Frequency (GHz)]]&gt;=75,Table1[[#This Row],[Frequency (GHz)]]&lt;110),Plot_Data_Power!F23,#N/A)</f>
        <v>#N/A</v>
      </c>
      <c r="P23" s="1" t="e">
        <f>IF(AND(Table1[[#This Row],[Frequency (GHz)]]&gt;=110,Table1[[#This Row],[Frequency (GHz)]]&lt;170),Plot_Data_Power!F23,#N/A)</f>
        <v>#N/A</v>
      </c>
      <c r="Q23" s="1" t="e">
        <f>IF(AND(Table1[[#This Row],[Frequency (GHz)]]&gt;=170,Table1[[#This Row],[Frequency (GHz)]]&lt;260),Plot_Data_Power!F23,#N/A)</f>
        <v>#N/A</v>
      </c>
      <c r="R23" s="1">
        <f>IF(Table1[[#This Row],[Frequency (GHz)]]&gt;=260,Plot_Data_Power!F23,#N/A)</f>
        <v>0.10891473605909813</v>
      </c>
      <c r="U23" s="1" t="e">
        <f>IF(Table1[[#This Row],[Frequency (GHz)]]&lt;20,Plot_Data_Power!G23,#N/A)</f>
        <v>#N/A</v>
      </c>
      <c r="V23" s="1" t="e">
        <f>IF(AND(Table1[[#This Row],[Frequency (GHz)]]&gt;=20,Table1[[#This Row],[Frequency (GHz)]]&lt;50),Plot_Data_Power!G23,#N/A)</f>
        <v>#N/A</v>
      </c>
      <c r="W23" s="1" t="e">
        <f>IF(AND(Table1[[#This Row],[Frequency (GHz)]]&gt;=50,Table1[[#This Row],[Frequency (GHz)]]&lt;75),Plot_Data_Power!G23,#N/A)</f>
        <v>#N/A</v>
      </c>
      <c r="X23" s="1" t="e">
        <f>IF(AND(Table1[[#This Row],[Frequency (GHz)]]&gt;=75,Table1[[#This Row],[Frequency (GHz)]]&lt;110),Plot_Data_Power!G23,#N/A)</f>
        <v>#N/A</v>
      </c>
      <c r="Y23" s="1" t="e">
        <f>IF(AND(Table1[[#This Row],[Frequency (GHz)]]&gt;=110,Table1[[#This Row],[Frequency (GHz)]]&lt;170),Plot_Data_Power!G23,#N/A)</f>
        <v>#N/A</v>
      </c>
      <c r="Z23" s="1" t="e">
        <f>IF(AND(Table1[[#This Row],[Frequency (GHz)]]&gt;=170,Table1[[#This Row],[Frequency (GHz)]]&lt;260),Plot_Data_Power!G23,#N/A)</f>
        <v>#N/A</v>
      </c>
      <c r="AA23" s="1" t="e">
        <f>IF(Table1[[#This Row],[Frequency (GHz)]]&gt;=260,Plot_Data_Power!G23,#N/A)</f>
        <v>#N/A</v>
      </c>
      <c r="AD23" s="1" t="e">
        <f>IF(ISNUMBER(Table1[[#This Row],[Max Package Thermal Density (W/cm2)]]),Table1[[#This Row],[Max Package Thermal Density (W/cm2)]],#N/A)</f>
        <v>#N/A</v>
      </c>
      <c r="AE23" s="1" t="e">
        <f>IF(AND(ISNUMBER((Table1[[#This Row],[Max Package Thermal Density (W/cm2)]])),Table1[[#This Row],[Frequency (GHz)]]&lt;20),Table1[[#This Row],[Max Package Thermal Density (W/cm2)]],#N/A)</f>
        <v>#N/A</v>
      </c>
      <c r="AF23" s="1" t="e">
        <f>IF(AND(ISNUMBER(Table1[[#This Row],[Max Package Thermal Density (W/cm2)]]),Table1[[#This Row],[Frequency (GHz)]]&gt;=20,Table1[[#This Row],[Frequency (GHz)]]&lt;50),Table1[[#This Row],[Max Package Thermal Density (W/cm2)]],#N/A)</f>
        <v>#N/A</v>
      </c>
      <c r="AG23" s="1" t="e">
        <f>IF(AND(ISNUMBER(Table1[[#This Row],[Max Package Thermal Density (W/cm2)]]),Table1[[#This Row],[Frequency (GHz)]]&gt;=50,Table1[[#This Row],[Frequency (GHz)]]&lt;75),Table1[[#This Row],[Max Package Thermal Density (W/cm2)]],#N/A)</f>
        <v>#N/A</v>
      </c>
      <c r="AH23" s="1" t="e">
        <f>IF(AND(ISNUMBER(Table1[[#This Row],[Max Package Thermal Density (W/cm2)]]),Table1[[#This Row],[Frequency (GHz)]]&gt;=75,Table1[[#This Row],[Frequency (GHz)]]&lt;110),Table1[[#This Row],[Max Package Thermal Density (W/cm2)]],#N/A)</f>
        <v>#N/A</v>
      </c>
      <c r="AI23" s="1" t="e">
        <f>IF(AND(ISNUMBER(Table1[[#This Row],[Max Package Thermal Density (W/cm2)]]),Table1[[#This Row],[Frequency (GHz)]]&gt;=110,Table1[[#This Row],[Frequency (GHz)]]&lt;170),Table1[[#This Row],[Max Package Thermal Density (W/cm2)]],#N/A)</f>
        <v>#N/A</v>
      </c>
      <c r="AJ23" s="1" t="e">
        <f>IF(AND(ISNUMBER(Table1[[#This Row],[Max Package Thermal Density (W/cm2)]]),Table1[[#This Row],[Frequency (GHz)]]&gt;=170,Table1[[#This Row],[Frequency (GHz)]]&lt;260),Table1[[#This Row],[Max Package Thermal Density (W/cm2)]],#N/A)</f>
        <v>#N/A</v>
      </c>
      <c r="AK23" s="1" t="e">
        <f>IF(AND(ISNUMBER(Table1[[#This Row],[Max Package Thermal Density (W/cm2)]]),Table1[[#This Row],[Frequency (GHz)]]&gt;=260),Table1[[#This Row],[Max Package Thermal Density (W/cm2)]],#N/A)</f>
        <v>#N/A</v>
      </c>
      <c r="AN23" s="1">
        <f>IF(ISNUMBER(Table1[[#This Row],[Max Chip Thermal Density (W/cm2)]]),Table1[[#This Row],[Max Chip Thermal Density (W/cm2)]],#N/A)</f>
        <v>3.1249999999999996</v>
      </c>
      <c r="AO23" s="1" t="e">
        <f>IF(AND(ISNUMBER((Table1[[#This Row],[Max Chip Thermal Density (W/cm2)]])),Table1[[#This Row],[Frequency (GHz)]]&lt;20),Table1[[#This Row],[Max Chip Thermal Density (W/cm2)]],#N/A)</f>
        <v>#N/A</v>
      </c>
      <c r="AP23" s="1" t="e">
        <f>IF(AND(ISNUMBER(Table1[[#This Row],[Max Chip Thermal Density (W/cm2)]]),Table1[[#This Row],[Frequency (GHz)]]&gt;=20,Table1[[#This Row],[Frequency (GHz)]]&lt;50),Table1[[#This Row],[Max Chip Thermal Density (W/cm2)]],#N/A)</f>
        <v>#N/A</v>
      </c>
      <c r="AQ23" s="1" t="e">
        <f>IF(AND(ISNUMBER(Table1[[#This Row],[Max Chip Thermal Density (W/cm2)]]),Table1[[#This Row],[Frequency (GHz)]]&gt;=50,Table1[[#This Row],[Frequency (GHz)]]&lt;75),Table1[[#This Row],[Max Chip Thermal Density (W/cm2)]],#N/A)</f>
        <v>#N/A</v>
      </c>
      <c r="AR23" s="1" t="e">
        <f>IF(AND(ISNUMBER(Table1[[#This Row],[Max Chip Thermal Density (W/cm2)]]),Table1[[#This Row],[Frequency (GHz)]]&gt;=75,Table1[[#This Row],[Frequency (GHz)]]&lt;110),Table1[[#This Row],[Max Chip Thermal Density (W/cm2)]],#N/A)</f>
        <v>#N/A</v>
      </c>
      <c r="AS23" s="1" t="e">
        <f>IF(AND(ISNUMBER(Table1[[#This Row],[Max Chip Thermal Density (W/cm2)]]),Table1[[#This Row],[Frequency (GHz)]]&gt;=110,Table1[[#This Row],[Frequency (GHz)]]&lt;170),Table1[[#This Row],[Max Chip Thermal Density (W/cm2)]],#N/A)</f>
        <v>#N/A</v>
      </c>
      <c r="AT23" s="1" t="e">
        <f>IF(AND(ISNUMBER(Table1[[#This Row],[Max Chip Thermal Density (W/cm2)]]),Table1[[#This Row],[Frequency (GHz)]]&gt;=170,Table1[[#This Row],[Frequency (GHz)]]&lt;260),Table1[[#This Row],[Max Chip Thermal Density (W/cm2)]],#N/A)</f>
        <v>#N/A</v>
      </c>
      <c r="AU23" s="1">
        <f>IF(AND(ISNUMBER(Table1[[#This Row],[Max Chip Thermal Density (W/cm2)]]),Table1[[#This Row],[Frequency (GHz)]]&gt;=260),Table1[[#This Row],[Max Chip Thermal Density (W/cm2)]],#N/A)</f>
        <v>3.1249999999999996</v>
      </c>
    </row>
    <row r="24" spans="1:47" x14ac:dyDescent="0.2">
      <c r="A24" s="25" t="e">
        <f>IF(ISNUMBER(Table1[[#This Row],[Total Pout/Prad (dBm)]]),Table1[[#This Row],[Total Pout/Prad (dBm)]],#N/A)</f>
        <v>#N/A</v>
      </c>
      <c r="B24" s="1" t="e">
        <f>IF(ISNUMBER(Table1[[#This Row],[Total Pout/Prad (dBm)]]),Table1[[#This Row],[Total '# of TX Elements]],#N/A)</f>
        <v>#N/A</v>
      </c>
      <c r="C24" s="1" t="e">
        <f>IF(ISNUMBER(Table1[[#This Row],[TX EIRP (dBm)]]),Table1[[#This Row],[TX EIRP (dBm)]],#N/A)</f>
        <v>#N/A</v>
      </c>
      <c r="D24" s="1" t="str">
        <f>Table1[[#This Row],[TX Pdc (W)]]</f>
        <v>N/A</v>
      </c>
      <c r="E24"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24" s="1" t="e">
        <f t="shared" si="0"/>
        <v>#N/A</v>
      </c>
      <c r="G24" s="1" t="e">
        <f t="shared" si="1"/>
        <v>#N/A</v>
      </c>
      <c r="L24" s="1" t="e">
        <f>IF(Table1[[#This Row],[Frequency (GHz)]]&lt;20,Plot_Data_Power!F24,#N/A)</f>
        <v>#N/A</v>
      </c>
      <c r="M24" s="1" t="e">
        <f>IF(AND(Table1[[#This Row],[Frequency (GHz)]]&gt;=20,Table1[[#This Row],[Frequency (GHz)]]&lt;50),Plot_Data_Power!F24,#N/A)</f>
        <v>#N/A</v>
      </c>
      <c r="N24" s="1" t="e">
        <f>IF(AND(Table1[[#This Row],[Frequency (GHz)]]&gt;=50,Table1[[#This Row],[Frequency (GHz)]]&lt;75),Plot_Data_Power!F24,#N/A)</f>
        <v>#N/A</v>
      </c>
      <c r="O24" s="1" t="e">
        <f>IF(AND(Table1[[#This Row],[Frequency (GHz)]]&gt;=75,Table1[[#This Row],[Frequency (GHz)]]&lt;110),Plot_Data_Power!F24,#N/A)</f>
        <v>#N/A</v>
      </c>
      <c r="P24" s="1" t="e">
        <f>IF(AND(Table1[[#This Row],[Frequency (GHz)]]&gt;=110,Table1[[#This Row],[Frequency (GHz)]]&lt;170),Plot_Data_Power!F24,#N/A)</f>
        <v>#N/A</v>
      </c>
      <c r="Q24" s="1" t="e">
        <f>IF(AND(Table1[[#This Row],[Frequency (GHz)]]&gt;=170,Table1[[#This Row],[Frequency (GHz)]]&lt;260),Plot_Data_Power!F24,#N/A)</f>
        <v>#N/A</v>
      </c>
      <c r="R24" s="1" t="e">
        <f>IF(Table1[[#This Row],[Frequency (GHz)]]&gt;=260,Plot_Data_Power!F24,#N/A)</f>
        <v>#N/A</v>
      </c>
      <c r="U24" s="1" t="e">
        <f>IF(Table1[[#This Row],[Frequency (GHz)]]&lt;20,Plot_Data_Power!G24,#N/A)</f>
        <v>#N/A</v>
      </c>
      <c r="V24" s="1" t="e">
        <f>IF(AND(Table1[[#This Row],[Frequency (GHz)]]&gt;=20,Table1[[#This Row],[Frequency (GHz)]]&lt;50),Plot_Data_Power!G24,#N/A)</f>
        <v>#N/A</v>
      </c>
      <c r="W24" s="1" t="e">
        <f>IF(AND(Table1[[#This Row],[Frequency (GHz)]]&gt;=50,Table1[[#This Row],[Frequency (GHz)]]&lt;75),Plot_Data_Power!G24,#N/A)</f>
        <v>#N/A</v>
      </c>
      <c r="X24" s="1" t="e">
        <f>IF(AND(Table1[[#This Row],[Frequency (GHz)]]&gt;=75,Table1[[#This Row],[Frequency (GHz)]]&lt;110),Plot_Data_Power!G24,#N/A)</f>
        <v>#N/A</v>
      </c>
      <c r="Y24" s="1" t="e">
        <f>IF(AND(Table1[[#This Row],[Frequency (GHz)]]&gt;=110,Table1[[#This Row],[Frequency (GHz)]]&lt;170),Plot_Data_Power!G24,#N/A)</f>
        <v>#N/A</v>
      </c>
      <c r="Z24" s="1" t="e">
        <f>IF(AND(Table1[[#This Row],[Frequency (GHz)]]&gt;=170,Table1[[#This Row],[Frequency (GHz)]]&lt;260),Plot_Data_Power!G24,#N/A)</f>
        <v>#N/A</v>
      </c>
      <c r="AA24" s="1" t="e">
        <f>IF(Table1[[#This Row],[Frequency (GHz)]]&gt;=260,Plot_Data_Power!G24,#N/A)</f>
        <v>#N/A</v>
      </c>
      <c r="AD24" s="1" t="e">
        <f>IF(ISNUMBER(Table1[[#This Row],[Max Package Thermal Density (W/cm2)]]),Table1[[#This Row],[Max Package Thermal Density (W/cm2)]],#N/A)</f>
        <v>#N/A</v>
      </c>
      <c r="AE24" s="1" t="e">
        <f>IF(AND(ISNUMBER((Table1[[#This Row],[Max Package Thermal Density (W/cm2)]])),Table1[[#This Row],[Frequency (GHz)]]&lt;20),Table1[[#This Row],[Max Package Thermal Density (W/cm2)]],#N/A)</f>
        <v>#N/A</v>
      </c>
      <c r="AF24" s="1" t="e">
        <f>IF(AND(ISNUMBER(Table1[[#This Row],[Max Package Thermal Density (W/cm2)]]),Table1[[#This Row],[Frequency (GHz)]]&gt;=20,Table1[[#This Row],[Frequency (GHz)]]&lt;50),Table1[[#This Row],[Max Package Thermal Density (W/cm2)]],#N/A)</f>
        <v>#N/A</v>
      </c>
      <c r="AG24" s="1" t="e">
        <f>IF(AND(ISNUMBER(Table1[[#This Row],[Max Package Thermal Density (W/cm2)]]),Table1[[#This Row],[Frequency (GHz)]]&gt;=50,Table1[[#This Row],[Frequency (GHz)]]&lt;75),Table1[[#This Row],[Max Package Thermal Density (W/cm2)]],#N/A)</f>
        <v>#N/A</v>
      </c>
      <c r="AH24" s="1" t="e">
        <f>IF(AND(ISNUMBER(Table1[[#This Row],[Max Package Thermal Density (W/cm2)]]),Table1[[#This Row],[Frequency (GHz)]]&gt;=75,Table1[[#This Row],[Frequency (GHz)]]&lt;110),Table1[[#This Row],[Max Package Thermal Density (W/cm2)]],#N/A)</f>
        <v>#N/A</v>
      </c>
      <c r="AI24" s="1" t="e">
        <f>IF(AND(ISNUMBER(Table1[[#This Row],[Max Package Thermal Density (W/cm2)]]),Table1[[#This Row],[Frequency (GHz)]]&gt;=110,Table1[[#This Row],[Frequency (GHz)]]&lt;170),Table1[[#This Row],[Max Package Thermal Density (W/cm2)]],#N/A)</f>
        <v>#N/A</v>
      </c>
      <c r="AJ24" s="1" t="e">
        <f>IF(AND(ISNUMBER(Table1[[#This Row],[Max Package Thermal Density (W/cm2)]]),Table1[[#This Row],[Frequency (GHz)]]&gt;=170,Table1[[#This Row],[Frequency (GHz)]]&lt;260),Table1[[#This Row],[Max Package Thermal Density (W/cm2)]],#N/A)</f>
        <v>#N/A</v>
      </c>
      <c r="AK24" s="1" t="e">
        <f>IF(AND(ISNUMBER(Table1[[#This Row],[Max Package Thermal Density (W/cm2)]]),Table1[[#This Row],[Frequency (GHz)]]&gt;=260),Table1[[#This Row],[Max Package Thermal Density (W/cm2)]],#N/A)</f>
        <v>#N/A</v>
      </c>
      <c r="AN24" s="1">
        <f>IF(ISNUMBER(Table1[[#This Row],[Max Chip Thermal Density (W/cm2)]]),Table1[[#This Row],[Max Chip Thermal Density (W/cm2)]],#N/A)</f>
        <v>4</v>
      </c>
      <c r="AO24" s="1" t="e">
        <f>IF(AND(ISNUMBER((Table1[[#This Row],[Max Chip Thermal Density (W/cm2)]])),Table1[[#This Row],[Frequency (GHz)]]&lt;20),Table1[[#This Row],[Max Chip Thermal Density (W/cm2)]],#N/A)</f>
        <v>#N/A</v>
      </c>
      <c r="AP24" s="1" t="e">
        <f>IF(AND(ISNUMBER(Table1[[#This Row],[Max Chip Thermal Density (W/cm2)]]),Table1[[#This Row],[Frequency (GHz)]]&gt;=20,Table1[[#This Row],[Frequency (GHz)]]&lt;50),Table1[[#This Row],[Max Chip Thermal Density (W/cm2)]],#N/A)</f>
        <v>#N/A</v>
      </c>
      <c r="AQ24" s="1" t="e">
        <f>IF(AND(ISNUMBER(Table1[[#This Row],[Max Chip Thermal Density (W/cm2)]]),Table1[[#This Row],[Frequency (GHz)]]&gt;=50,Table1[[#This Row],[Frequency (GHz)]]&lt;75),Table1[[#This Row],[Max Chip Thermal Density (W/cm2)]],#N/A)</f>
        <v>#N/A</v>
      </c>
      <c r="AR24" s="1" t="e">
        <f>IF(AND(ISNUMBER(Table1[[#This Row],[Max Chip Thermal Density (W/cm2)]]),Table1[[#This Row],[Frequency (GHz)]]&gt;=75,Table1[[#This Row],[Frequency (GHz)]]&lt;110),Table1[[#This Row],[Max Chip Thermal Density (W/cm2)]],#N/A)</f>
        <v>#N/A</v>
      </c>
      <c r="AS24" s="1" t="e">
        <f>IF(AND(ISNUMBER(Table1[[#This Row],[Max Chip Thermal Density (W/cm2)]]),Table1[[#This Row],[Frequency (GHz)]]&gt;=110,Table1[[#This Row],[Frequency (GHz)]]&lt;170),Table1[[#This Row],[Max Chip Thermal Density (W/cm2)]],#N/A)</f>
        <v>#N/A</v>
      </c>
      <c r="AT24" s="1" t="e">
        <f>IF(AND(ISNUMBER(Table1[[#This Row],[Max Chip Thermal Density (W/cm2)]]),Table1[[#This Row],[Frequency (GHz)]]&gt;=170,Table1[[#This Row],[Frequency (GHz)]]&lt;260),Table1[[#This Row],[Max Chip Thermal Density (W/cm2)]],#N/A)</f>
        <v>#N/A</v>
      </c>
      <c r="AU24" s="1">
        <f>IF(AND(ISNUMBER(Table1[[#This Row],[Max Chip Thermal Density (W/cm2)]]),Table1[[#This Row],[Frequency (GHz)]]&gt;=260),Table1[[#This Row],[Max Chip Thermal Density (W/cm2)]],#N/A)</f>
        <v>4</v>
      </c>
    </row>
    <row r="25" spans="1:47" x14ac:dyDescent="0.2">
      <c r="A25" s="25" t="e">
        <f>IF(ISNUMBER(Table1[[#This Row],[Total Pout/Prad (dBm)]]),Table1[[#This Row],[Total Pout/Prad (dBm)]],#N/A)</f>
        <v>#N/A</v>
      </c>
      <c r="B25" s="1" t="e">
        <f>IF(ISNUMBER(Table1[[#This Row],[Total Pout/Prad (dBm)]]),Table1[[#This Row],[Total '# of TX Elements]],#N/A)</f>
        <v>#N/A</v>
      </c>
      <c r="C25" s="1">
        <f>IF(ISNUMBER(Table1[[#This Row],[TX EIRP (dBm)]]),Table1[[#This Row],[TX EIRP (dBm)]],#N/A)</f>
        <v>-11.6</v>
      </c>
      <c r="D25" s="1">
        <f>Table1[[#This Row],[TX Pdc (W)]]</f>
        <v>1.8200000000000001E-2</v>
      </c>
      <c r="E25" s="1">
        <f>IF(ISNUMBER(Table1[[#This Row],[Array Aperture Size (cm2)]]),Table1[[#This Row],[Array Aperture Size (cm2)]],IF(Table1[[#This Row],[Antenna on (None, Chip, AiP, PCB)]]="Chip",Table1[[#This Row],[Chip Core Size - X (mm)]]*Table1[[#This Row],[Chip Core Size -Y (mm)]]/100*Table1[[#This Row],['# of IC per Tile]]*Table1[[#This Row],['# of Array Tile]],#N/A))</f>
        <v>4.1159999999999999E-3</v>
      </c>
      <c r="F25" s="1" t="e">
        <f t="shared" si="0"/>
        <v>#N/A</v>
      </c>
      <c r="G25" s="1">
        <f t="shared" si="1"/>
        <v>0.38012690709831665</v>
      </c>
      <c r="L25" s="1" t="e">
        <f>IF(Table1[[#This Row],[Frequency (GHz)]]&lt;20,Plot_Data_Power!F25,#N/A)</f>
        <v>#N/A</v>
      </c>
      <c r="M25" s="1" t="e">
        <f>IF(AND(Table1[[#This Row],[Frequency (GHz)]]&gt;=20,Table1[[#This Row],[Frequency (GHz)]]&lt;50),Plot_Data_Power!F25,#N/A)</f>
        <v>#N/A</v>
      </c>
      <c r="N25" s="1" t="e">
        <f>IF(AND(Table1[[#This Row],[Frequency (GHz)]]&gt;=50,Table1[[#This Row],[Frequency (GHz)]]&lt;75),Plot_Data_Power!F25,#N/A)</f>
        <v>#N/A</v>
      </c>
      <c r="O25" s="1" t="e">
        <f>IF(AND(Table1[[#This Row],[Frequency (GHz)]]&gt;=75,Table1[[#This Row],[Frequency (GHz)]]&lt;110),Plot_Data_Power!F25,#N/A)</f>
        <v>#N/A</v>
      </c>
      <c r="P25" s="1" t="e">
        <f>IF(AND(Table1[[#This Row],[Frequency (GHz)]]&gt;=110,Table1[[#This Row],[Frequency (GHz)]]&lt;170),Plot_Data_Power!F25,#N/A)</f>
        <v>#N/A</v>
      </c>
      <c r="Q25" s="1" t="e">
        <f>IF(AND(Table1[[#This Row],[Frequency (GHz)]]&gt;=170,Table1[[#This Row],[Frequency (GHz)]]&lt;260),Plot_Data_Power!F25,#N/A)</f>
        <v>#N/A</v>
      </c>
      <c r="R25" s="1" t="e">
        <f>IF(Table1[[#This Row],[Frequency (GHz)]]&gt;=260,Plot_Data_Power!F25,#N/A)</f>
        <v>#N/A</v>
      </c>
      <c r="U25" s="1" t="e">
        <f>IF(Table1[[#This Row],[Frequency (GHz)]]&lt;20,Plot_Data_Power!G25,#N/A)</f>
        <v>#N/A</v>
      </c>
      <c r="V25" s="1" t="e">
        <f>IF(AND(Table1[[#This Row],[Frequency (GHz)]]&gt;=20,Table1[[#This Row],[Frequency (GHz)]]&lt;50),Plot_Data_Power!G25,#N/A)</f>
        <v>#N/A</v>
      </c>
      <c r="W25" s="1" t="e">
        <f>IF(AND(Table1[[#This Row],[Frequency (GHz)]]&gt;=50,Table1[[#This Row],[Frequency (GHz)]]&lt;75),Plot_Data_Power!G25,#N/A)</f>
        <v>#N/A</v>
      </c>
      <c r="X25" s="1" t="e">
        <f>IF(AND(Table1[[#This Row],[Frequency (GHz)]]&gt;=75,Table1[[#This Row],[Frequency (GHz)]]&lt;110),Plot_Data_Power!G25,#N/A)</f>
        <v>#N/A</v>
      </c>
      <c r="Y25" s="1" t="e">
        <f>IF(AND(Table1[[#This Row],[Frequency (GHz)]]&gt;=110,Table1[[#This Row],[Frequency (GHz)]]&lt;170),Plot_Data_Power!G25,#N/A)</f>
        <v>#N/A</v>
      </c>
      <c r="Z25" s="1" t="e">
        <f>IF(AND(Table1[[#This Row],[Frequency (GHz)]]&gt;=170,Table1[[#This Row],[Frequency (GHz)]]&lt;260),Plot_Data_Power!G25,#N/A)</f>
        <v>#N/A</v>
      </c>
      <c r="AA25" s="1">
        <f>IF(Table1[[#This Row],[Frequency (GHz)]]&gt;=260,Plot_Data_Power!G25,#N/A)</f>
        <v>0.38012690709831665</v>
      </c>
      <c r="AD25" s="1" t="e">
        <f>IF(ISNUMBER(Table1[[#This Row],[Max Package Thermal Density (W/cm2)]]),Table1[[#This Row],[Max Package Thermal Density (W/cm2)]],#N/A)</f>
        <v>#N/A</v>
      </c>
      <c r="AE25" s="1" t="e">
        <f>IF(AND(ISNUMBER((Table1[[#This Row],[Max Package Thermal Density (W/cm2)]])),Table1[[#This Row],[Frequency (GHz)]]&lt;20),Table1[[#This Row],[Max Package Thermal Density (W/cm2)]],#N/A)</f>
        <v>#N/A</v>
      </c>
      <c r="AF25" s="1" t="e">
        <f>IF(AND(ISNUMBER(Table1[[#This Row],[Max Package Thermal Density (W/cm2)]]),Table1[[#This Row],[Frequency (GHz)]]&gt;=20,Table1[[#This Row],[Frequency (GHz)]]&lt;50),Table1[[#This Row],[Max Package Thermal Density (W/cm2)]],#N/A)</f>
        <v>#N/A</v>
      </c>
      <c r="AG25" s="1" t="e">
        <f>IF(AND(ISNUMBER(Table1[[#This Row],[Max Package Thermal Density (W/cm2)]]),Table1[[#This Row],[Frequency (GHz)]]&gt;=50,Table1[[#This Row],[Frequency (GHz)]]&lt;75),Table1[[#This Row],[Max Package Thermal Density (W/cm2)]],#N/A)</f>
        <v>#N/A</v>
      </c>
      <c r="AH25" s="1" t="e">
        <f>IF(AND(ISNUMBER(Table1[[#This Row],[Max Package Thermal Density (W/cm2)]]),Table1[[#This Row],[Frequency (GHz)]]&gt;=75,Table1[[#This Row],[Frequency (GHz)]]&lt;110),Table1[[#This Row],[Max Package Thermal Density (W/cm2)]],#N/A)</f>
        <v>#N/A</v>
      </c>
      <c r="AI25" s="1" t="e">
        <f>IF(AND(ISNUMBER(Table1[[#This Row],[Max Package Thermal Density (W/cm2)]]),Table1[[#This Row],[Frequency (GHz)]]&gt;=110,Table1[[#This Row],[Frequency (GHz)]]&lt;170),Table1[[#This Row],[Max Package Thermal Density (W/cm2)]],#N/A)</f>
        <v>#N/A</v>
      </c>
      <c r="AJ25" s="1" t="e">
        <f>IF(AND(ISNUMBER(Table1[[#This Row],[Max Package Thermal Density (W/cm2)]]),Table1[[#This Row],[Frequency (GHz)]]&gt;=170,Table1[[#This Row],[Frequency (GHz)]]&lt;260),Table1[[#This Row],[Max Package Thermal Density (W/cm2)]],#N/A)</f>
        <v>#N/A</v>
      </c>
      <c r="AK25" s="1" t="e">
        <f>IF(AND(ISNUMBER(Table1[[#This Row],[Max Package Thermal Density (W/cm2)]]),Table1[[#This Row],[Frequency (GHz)]]&gt;=260),Table1[[#This Row],[Max Package Thermal Density (W/cm2)]],#N/A)</f>
        <v>#N/A</v>
      </c>
      <c r="AN25" s="1">
        <f>IF(ISNUMBER(Table1[[#This Row],[Max Chip Thermal Density (W/cm2)]]),Table1[[#This Row],[Max Chip Thermal Density (W/cm2)]],#N/A)</f>
        <v>5.4561403508771944</v>
      </c>
      <c r="AO25" s="1" t="e">
        <f>IF(AND(ISNUMBER((Table1[[#This Row],[Max Chip Thermal Density (W/cm2)]])),Table1[[#This Row],[Frequency (GHz)]]&lt;20),Table1[[#This Row],[Max Chip Thermal Density (W/cm2)]],#N/A)</f>
        <v>#N/A</v>
      </c>
      <c r="AP25" s="1" t="e">
        <f>IF(AND(ISNUMBER(Table1[[#This Row],[Max Chip Thermal Density (W/cm2)]]),Table1[[#This Row],[Frequency (GHz)]]&gt;=20,Table1[[#This Row],[Frequency (GHz)]]&lt;50),Table1[[#This Row],[Max Chip Thermal Density (W/cm2)]],#N/A)</f>
        <v>#N/A</v>
      </c>
      <c r="AQ25" s="1" t="e">
        <f>IF(AND(ISNUMBER(Table1[[#This Row],[Max Chip Thermal Density (W/cm2)]]),Table1[[#This Row],[Frequency (GHz)]]&gt;=50,Table1[[#This Row],[Frequency (GHz)]]&lt;75),Table1[[#This Row],[Max Chip Thermal Density (W/cm2)]],#N/A)</f>
        <v>#N/A</v>
      </c>
      <c r="AR25" s="1" t="e">
        <f>IF(AND(ISNUMBER(Table1[[#This Row],[Max Chip Thermal Density (W/cm2)]]),Table1[[#This Row],[Frequency (GHz)]]&gt;=75,Table1[[#This Row],[Frequency (GHz)]]&lt;110),Table1[[#This Row],[Max Chip Thermal Density (W/cm2)]],#N/A)</f>
        <v>#N/A</v>
      </c>
      <c r="AS25" s="1" t="e">
        <f>IF(AND(ISNUMBER(Table1[[#This Row],[Max Chip Thermal Density (W/cm2)]]),Table1[[#This Row],[Frequency (GHz)]]&gt;=110,Table1[[#This Row],[Frequency (GHz)]]&lt;170),Table1[[#This Row],[Max Chip Thermal Density (W/cm2)]],#N/A)</f>
        <v>#N/A</v>
      </c>
      <c r="AT25" s="1" t="e">
        <f>IF(AND(ISNUMBER(Table1[[#This Row],[Max Chip Thermal Density (W/cm2)]]),Table1[[#This Row],[Frequency (GHz)]]&gt;=170,Table1[[#This Row],[Frequency (GHz)]]&lt;260),Table1[[#This Row],[Max Chip Thermal Density (W/cm2)]],#N/A)</f>
        <v>#N/A</v>
      </c>
      <c r="AU25" s="1">
        <f>IF(AND(ISNUMBER(Table1[[#This Row],[Max Chip Thermal Density (W/cm2)]]),Table1[[#This Row],[Frequency (GHz)]]&gt;=260),Table1[[#This Row],[Max Chip Thermal Density (W/cm2)]],#N/A)</f>
        <v>5.4561403508771944</v>
      </c>
    </row>
    <row r="26" spans="1:47" x14ac:dyDescent="0.2">
      <c r="A26" s="25" t="e">
        <f>IF(ISNUMBER(Table1[[#This Row],[Total Pout/Prad (dBm)]]),Table1[[#This Row],[Total Pout/Prad (dBm)]],#N/A)</f>
        <v>#N/A</v>
      </c>
      <c r="B26" s="1" t="e">
        <f>IF(ISNUMBER(Table1[[#This Row],[Total Pout/Prad (dBm)]]),Table1[[#This Row],[Total '# of TX Elements]],#N/A)</f>
        <v>#N/A</v>
      </c>
      <c r="C26" s="1" t="e">
        <f>IF(ISNUMBER(Table1[[#This Row],[TX EIRP (dBm)]]),Table1[[#This Row],[TX EIRP (dBm)]],#N/A)</f>
        <v>#N/A</v>
      </c>
      <c r="D26" s="1">
        <f>Table1[[#This Row],[TX Pdc (W)]]</f>
        <v>0.12</v>
      </c>
      <c r="E26"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26" s="1" t="e">
        <f t="shared" si="0"/>
        <v>#N/A</v>
      </c>
      <c r="G26" s="1" t="e">
        <f t="shared" si="1"/>
        <v>#N/A</v>
      </c>
      <c r="L26" s="1" t="e">
        <f>IF(Table1[[#This Row],[Frequency (GHz)]]&lt;20,Plot_Data_Power!F26,#N/A)</f>
        <v>#N/A</v>
      </c>
      <c r="M26" s="1" t="e">
        <f>IF(AND(Table1[[#This Row],[Frequency (GHz)]]&gt;=20,Table1[[#This Row],[Frequency (GHz)]]&lt;50),Plot_Data_Power!F26,#N/A)</f>
        <v>#N/A</v>
      </c>
      <c r="N26" s="1" t="e">
        <f>IF(AND(Table1[[#This Row],[Frequency (GHz)]]&gt;=50,Table1[[#This Row],[Frequency (GHz)]]&lt;75),Plot_Data_Power!F26,#N/A)</f>
        <v>#N/A</v>
      </c>
      <c r="O26" s="1" t="e">
        <f>IF(AND(Table1[[#This Row],[Frequency (GHz)]]&gt;=75,Table1[[#This Row],[Frequency (GHz)]]&lt;110),Plot_Data_Power!F26,#N/A)</f>
        <v>#N/A</v>
      </c>
      <c r="P26" s="1" t="e">
        <f>IF(AND(Table1[[#This Row],[Frequency (GHz)]]&gt;=110,Table1[[#This Row],[Frequency (GHz)]]&lt;170),Plot_Data_Power!F26,#N/A)</f>
        <v>#N/A</v>
      </c>
      <c r="Q26" s="1" t="e">
        <f>IF(AND(Table1[[#This Row],[Frequency (GHz)]]&gt;=170,Table1[[#This Row],[Frequency (GHz)]]&lt;260),Plot_Data_Power!F26,#N/A)</f>
        <v>#N/A</v>
      </c>
      <c r="R26" s="1" t="e">
        <f>IF(Table1[[#This Row],[Frequency (GHz)]]&gt;=260,Plot_Data_Power!F26,#N/A)</f>
        <v>#N/A</v>
      </c>
      <c r="U26" s="1" t="e">
        <f>IF(Table1[[#This Row],[Frequency (GHz)]]&lt;20,Plot_Data_Power!G26,#N/A)</f>
        <v>#N/A</v>
      </c>
      <c r="V26" s="1" t="e">
        <f>IF(AND(Table1[[#This Row],[Frequency (GHz)]]&gt;=20,Table1[[#This Row],[Frequency (GHz)]]&lt;50),Plot_Data_Power!G26,#N/A)</f>
        <v>#N/A</v>
      </c>
      <c r="W26" s="1" t="e">
        <f>IF(AND(Table1[[#This Row],[Frequency (GHz)]]&gt;=50,Table1[[#This Row],[Frequency (GHz)]]&lt;75),Plot_Data_Power!G26,#N/A)</f>
        <v>#N/A</v>
      </c>
      <c r="X26" s="1" t="e">
        <f>IF(AND(Table1[[#This Row],[Frequency (GHz)]]&gt;=75,Table1[[#This Row],[Frequency (GHz)]]&lt;110),Plot_Data_Power!G26,#N/A)</f>
        <v>#N/A</v>
      </c>
      <c r="Y26" s="1" t="e">
        <f>IF(AND(Table1[[#This Row],[Frequency (GHz)]]&gt;=110,Table1[[#This Row],[Frequency (GHz)]]&lt;170),Plot_Data_Power!G26,#N/A)</f>
        <v>#N/A</v>
      </c>
      <c r="Z26" s="1" t="e">
        <f>IF(AND(Table1[[#This Row],[Frequency (GHz)]]&gt;=170,Table1[[#This Row],[Frequency (GHz)]]&lt;260),Plot_Data_Power!G26,#N/A)</f>
        <v>#N/A</v>
      </c>
      <c r="AA26" s="1" t="e">
        <f>IF(Table1[[#This Row],[Frequency (GHz)]]&gt;=260,Plot_Data_Power!G26,#N/A)</f>
        <v>#N/A</v>
      </c>
      <c r="AD26" s="1" t="e">
        <f>IF(ISNUMBER(Table1[[#This Row],[Max Package Thermal Density (W/cm2)]]),Table1[[#This Row],[Max Package Thermal Density (W/cm2)]],#N/A)</f>
        <v>#N/A</v>
      </c>
      <c r="AE26" s="1" t="e">
        <f>IF(AND(ISNUMBER((Table1[[#This Row],[Max Package Thermal Density (W/cm2)]])),Table1[[#This Row],[Frequency (GHz)]]&lt;20),Table1[[#This Row],[Max Package Thermal Density (W/cm2)]],#N/A)</f>
        <v>#N/A</v>
      </c>
      <c r="AF26" s="1" t="e">
        <f>IF(AND(ISNUMBER(Table1[[#This Row],[Max Package Thermal Density (W/cm2)]]),Table1[[#This Row],[Frequency (GHz)]]&gt;=20,Table1[[#This Row],[Frequency (GHz)]]&lt;50),Table1[[#This Row],[Max Package Thermal Density (W/cm2)]],#N/A)</f>
        <v>#N/A</v>
      </c>
      <c r="AG26" s="1" t="e">
        <f>IF(AND(ISNUMBER(Table1[[#This Row],[Max Package Thermal Density (W/cm2)]]),Table1[[#This Row],[Frequency (GHz)]]&gt;=50,Table1[[#This Row],[Frequency (GHz)]]&lt;75),Table1[[#This Row],[Max Package Thermal Density (W/cm2)]],#N/A)</f>
        <v>#N/A</v>
      </c>
      <c r="AH26" s="1" t="e">
        <f>IF(AND(ISNUMBER(Table1[[#This Row],[Max Package Thermal Density (W/cm2)]]),Table1[[#This Row],[Frequency (GHz)]]&gt;=75,Table1[[#This Row],[Frequency (GHz)]]&lt;110),Table1[[#This Row],[Max Package Thermal Density (W/cm2)]],#N/A)</f>
        <v>#N/A</v>
      </c>
      <c r="AI26" s="1" t="e">
        <f>IF(AND(ISNUMBER(Table1[[#This Row],[Max Package Thermal Density (W/cm2)]]),Table1[[#This Row],[Frequency (GHz)]]&gt;=110,Table1[[#This Row],[Frequency (GHz)]]&lt;170),Table1[[#This Row],[Max Package Thermal Density (W/cm2)]],#N/A)</f>
        <v>#N/A</v>
      </c>
      <c r="AJ26" s="1" t="e">
        <f>IF(AND(ISNUMBER(Table1[[#This Row],[Max Package Thermal Density (W/cm2)]]),Table1[[#This Row],[Frequency (GHz)]]&gt;=170,Table1[[#This Row],[Frequency (GHz)]]&lt;260),Table1[[#This Row],[Max Package Thermal Density (W/cm2)]],#N/A)</f>
        <v>#N/A</v>
      </c>
      <c r="AK26" s="1" t="e">
        <f>IF(AND(ISNUMBER(Table1[[#This Row],[Max Package Thermal Density (W/cm2)]]),Table1[[#This Row],[Frequency (GHz)]]&gt;=260),Table1[[#This Row],[Max Package Thermal Density (W/cm2)]],#N/A)</f>
        <v>#N/A</v>
      </c>
      <c r="AN26" s="1">
        <f>IF(ISNUMBER(Table1[[#This Row],[Max Chip Thermal Density (W/cm2)]]),Table1[[#This Row],[Max Chip Thermal Density (W/cm2)]],#N/A)</f>
        <v>2.666666666666667</v>
      </c>
      <c r="AO26" s="1" t="e">
        <f>IF(AND(ISNUMBER((Table1[[#This Row],[Max Chip Thermal Density (W/cm2)]])),Table1[[#This Row],[Frequency (GHz)]]&lt;20),Table1[[#This Row],[Max Chip Thermal Density (W/cm2)]],#N/A)</f>
        <v>#N/A</v>
      </c>
      <c r="AP26" s="1" t="e">
        <f>IF(AND(ISNUMBER(Table1[[#This Row],[Max Chip Thermal Density (W/cm2)]]),Table1[[#This Row],[Frequency (GHz)]]&gt;=20,Table1[[#This Row],[Frequency (GHz)]]&lt;50),Table1[[#This Row],[Max Chip Thermal Density (W/cm2)]],#N/A)</f>
        <v>#N/A</v>
      </c>
      <c r="AQ26" s="1">
        <f>IF(AND(ISNUMBER(Table1[[#This Row],[Max Chip Thermal Density (W/cm2)]]),Table1[[#This Row],[Frequency (GHz)]]&gt;=50,Table1[[#This Row],[Frequency (GHz)]]&lt;75),Table1[[#This Row],[Max Chip Thermal Density (W/cm2)]],#N/A)</f>
        <v>2.666666666666667</v>
      </c>
      <c r="AR26" s="1" t="e">
        <f>IF(AND(ISNUMBER(Table1[[#This Row],[Max Chip Thermal Density (W/cm2)]]),Table1[[#This Row],[Frequency (GHz)]]&gt;=75,Table1[[#This Row],[Frequency (GHz)]]&lt;110),Table1[[#This Row],[Max Chip Thermal Density (W/cm2)]],#N/A)</f>
        <v>#N/A</v>
      </c>
      <c r="AS26" s="1" t="e">
        <f>IF(AND(ISNUMBER(Table1[[#This Row],[Max Chip Thermal Density (W/cm2)]]),Table1[[#This Row],[Frequency (GHz)]]&gt;=110,Table1[[#This Row],[Frequency (GHz)]]&lt;170),Table1[[#This Row],[Max Chip Thermal Density (W/cm2)]],#N/A)</f>
        <v>#N/A</v>
      </c>
      <c r="AT26" s="1" t="e">
        <f>IF(AND(ISNUMBER(Table1[[#This Row],[Max Chip Thermal Density (W/cm2)]]),Table1[[#This Row],[Frequency (GHz)]]&gt;=170,Table1[[#This Row],[Frequency (GHz)]]&lt;260),Table1[[#This Row],[Max Chip Thermal Density (W/cm2)]],#N/A)</f>
        <v>#N/A</v>
      </c>
      <c r="AU26" s="1" t="e">
        <f>IF(AND(ISNUMBER(Table1[[#This Row],[Max Chip Thermal Density (W/cm2)]]),Table1[[#This Row],[Frequency (GHz)]]&gt;=260),Table1[[#This Row],[Max Chip Thermal Density (W/cm2)]],#N/A)</f>
        <v>#N/A</v>
      </c>
    </row>
    <row r="27" spans="1:47" x14ac:dyDescent="0.2">
      <c r="A27" s="25">
        <f>IF(ISNUMBER(Table1[[#This Row],[Total Pout/Prad (dBm)]]),Table1[[#This Row],[Total Pout/Prad (dBm)]],#N/A)</f>
        <v>-1.9000000000000006</v>
      </c>
      <c r="B27" s="1">
        <f>IF(ISNUMBER(Table1[[#This Row],[Total Pout/Prad (dBm)]]),Table1[[#This Row],[Total '# of TX Elements]],#N/A)</f>
        <v>1</v>
      </c>
      <c r="C27" s="1" t="e">
        <f>IF(ISNUMBER(Table1[[#This Row],[TX EIRP (dBm)]]),Table1[[#This Row],[TX EIRP (dBm)]],#N/A)</f>
        <v>#N/A</v>
      </c>
      <c r="D27" s="1">
        <f>Table1[[#This Row],[TX Pdc (W)]]</f>
        <v>0.12</v>
      </c>
      <c r="E27"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27" s="1">
        <f t="shared" si="0"/>
        <v>0.53804519086221281</v>
      </c>
      <c r="G27" s="1" t="e">
        <f t="shared" si="1"/>
        <v>#N/A</v>
      </c>
      <c r="L27" s="1" t="e">
        <f>IF(Table1[[#This Row],[Frequency (GHz)]]&lt;20,Plot_Data_Power!F27,#N/A)</f>
        <v>#N/A</v>
      </c>
      <c r="M27" s="1" t="e">
        <f>IF(AND(Table1[[#This Row],[Frequency (GHz)]]&gt;=20,Table1[[#This Row],[Frequency (GHz)]]&lt;50),Plot_Data_Power!F27,#N/A)</f>
        <v>#N/A</v>
      </c>
      <c r="N27" s="1" t="e">
        <f>IF(AND(Table1[[#This Row],[Frequency (GHz)]]&gt;=50,Table1[[#This Row],[Frequency (GHz)]]&lt;75),Plot_Data_Power!F27,#N/A)</f>
        <v>#N/A</v>
      </c>
      <c r="O27" s="1">
        <f>IF(AND(Table1[[#This Row],[Frequency (GHz)]]&gt;=75,Table1[[#This Row],[Frequency (GHz)]]&lt;110),Plot_Data_Power!F27,#N/A)</f>
        <v>0.53804519086221281</v>
      </c>
      <c r="P27" s="1" t="e">
        <f>IF(AND(Table1[[#This Row],[Frequency (GHz)]]&gt;=110,Table1[[#This Row],[Frequency (GHz)]]&lt;170),Plot_Data_Power!F27,#N/A)</f>
        <v>#N/A</v>
      </c>
      <c r="Q27" s="1" t="e">
        <f>IF(AND(Table1[[#This Row],[Frequency (GHz)]]&gt;=170,Table1[[#This Row],[Frequency (GHz)]]&lt;260),Plot_Data_Power!F27,#N/A)</f>
        <v>#N/A</v>
      </c>
      <c r="R27" s="1" t="e">
        <f>IF(Table1[[#This Row],[Frequency (GHz)]]&gt;=260,Plot_Data_Power!F27,#N/A)</f>
        <v>#N/A</v>
      </c>
      <c r="U27" s="1" t="e">
        <f>IF(Table1[[#This Row],[Frequency (GHz)]]&lt;20,Plot_Data_Power!G27,#N/A)</f>
        <v>#N/A</v>
      </c>
      <c r="V27" s="1" t="e">
        <f>IF(AND(Table1[[#This Row],[Frequency (GHz)]]&gt;=20,Table1[[#This Row],[Frequency (GHz)]]&lt;50),Plot_Data_Power!G27,#N/A)</f>
        <v>#N/A</v>
      </c>
      <c r="W27" s="1" t="e">
        <f>IF(AND(Table1[[#This Row],[Frequency (GHz)]]&gt;=50,Table1[[#This Row],[Frequency (GHz)]]&lt;75),Plot_Data_Power!G27,#N/A)</f>
        <v>#N/A</v>
      </c>
      <c r="X27" s="1" t="e">
        <f>IF(AND(Table1[[#This Row],[Frequency (GHz)]]&gt;=75,Table1[[#This Row],[Frequency (GHz)]]&lt;110),Plot_Data_Power!G27,#N/A)</f>
        <v>#N/A</v>
      </c>
      <c r="Y27" s="1" t="e">
        <f>IF(AND(Table1[[#This Row],[Frequency (GHz)]]&gt;=110,Table1[[#This Row],[Frequency (GHz)]]&lt;170),Plot_Data_Power!G27,#N/A)</f>
        <v>#N/A</v>
      </c>
      <c r="Z27" s="1" t="e">
        <f>IF(AND(Table1[[#This Row],[Frequency (GHz)]]&gt;=170,Table1[[#This Row],[Frequency (GHz)]]&lt;260),Plot_Data_Power!G27,#N/A)</f>
        <v>#N/A</v>
      </c>
      <c r="AA27" s="1" t="e">
        <f>IF(Table1[[#This Row],[Frequency (GHz)]]&gt;=260,Plot_Data_Power!G27,#N/A)</f>
        <v>#N/A</v>
      </c>
      <c r="AD27" s="1" t="e">
        <f>IF(ISNUMBER(Table1[[#This Row],[Max Package Thermal Density (W/cm2)]]),Table1[[#This Row],[Max Package Thermal Density (W/cm2)]],#N/A)</f>
        <v>#N/A</v>
      </c>
      <c r="AE27" s="1" t="e">
        <f>IF(AND(ISNUMBER((Table1[[#This Row],[Max Package Thermal Density (W/cm2)]])),Table1[[#This Row],[Frequency (GHz)]]&lt;20),Table1[[#This Row],[Max Package Thermal Density (W/cm2)]],#N/A)</f>
        <v>#N/A</v>
      </c>
      <c r="AF27" s="1" t="e">
        <f>IF(AND(ISNUMBER(Table1[[#This Row],[Max Package Thermal Density (W/cm2)]]),Table1[[#This Row],[Frequency (GHz)]]&gt;=20,Table1[[#This Row],[Frequency (GHz)]]&lt;50),Table1[[#This Row],[Max Package Thermal Density (W/cm2)]],#N/A)</f>
        <v>#N/A</v>
      </c>
      <c r="AG27" s="1" t="e">
        <f>IF(AND(ISNUMBER(Table1[[#This Row],[Max Package Thermal Density (W/cm2)]]),Table1[[#This Row],[Frequency (GHz)]]&gt;=50,Table1[[#This Row],[Frequency (GHz)]]&lt;75),Table1[[#This Row],[Max Package Thermal Density (W/cm2)]],#N/A)</f>
        <v>#N/A</v>
      </c>
      <c r="AH27" s="1" t="e">
        <f>IF(AND(ISNUMBER(Table1[[#This Row],[Max Package Thermal Density (W/cm2)]]),Table1[[#This Row],[Frequency (GHz)]]&gt;=75,Table1[[#This Row],[Frequency (GHz)]]&lt;110),Table1[[#This Row],[Max Package Thermal Density (W/cm2)]],#N/A)</f>
        <v>#N/A</v>
      </c>
      <c r="AI27" s="1" t="e">
        <f>IF(AND(ISNUMBER(Table1[[#This Row],[Max Package Thermal Density (W/cm2)]]),Table1[[#This Row],[Frequency (GHz)]]&gt;=110,Table1[[#This Row],[Frequency (GHz)]]&lt;170),Table1[[#This Row],[Max Package Thermal Density (W/cm2)]],#N/A)</f>
        <v>#N/A</v>
      </c>
      <c r="AJ27" s="1" t="e">
        <f>IF(AND(ISNUMBER(Table1[[#This Row],[Max Package Thermal Density (W/cm2)]]),Table1[[#This Row],[Frequency (GHz)]]&gt;=170,Table1[[#This Row],[Frequency (GHz)]]&lt;260),Table1[[#This Row],[Max Package Thermal Density (W/cm2)]],#N/A)</f>
        <v>#N/A</v>
      </c>
      <c r="AK27" s="1" t="e">
        <f>IF(AND(ISNUMBER(Table1[[#This Row],[Max Package Thermal Density (W/cm2)]]),Table1[[#This Row],[Frequency (GHz)]]&gt;=260),Table1[[#This Row],[Max Package Thermal Density (W/cm2)]],#N/A)</f>
        <v>#N/A</v>
      </c>
      <c r="AN27" s="1">
        <f>IF(ISNUMBER(Table1[[#This Row],[Max Chip Thermal Density (W/cm2)]]),Table1[[#This Row],[Max Chip Thermal Density (W/cm2)]],#N/A)</f>
        <v>2.666666666666667</v>
      </c>
      <c r="AO27" s="1" t="e">
        <f>IF(AND(ISNUMBER((Table1[[#This Row],[Max Chip Thermal Density (W/cm2)]])),Table1[[#This Row],[Frequency (GHz)]]&lt;20),Table1[[#This Row],[Max Chip Thermal Density (W/cm2)]],#N/A)</f>
        <v>#N/A</v>
      </c>
      <c r="AP27" s="1" t="e">
        <f>IF(AND(ISNUMBER(Table1[[#This Row],[Max Chip Thermal Density (W/cm2)]]),Table1[[#This Row],[Frequency (GHz)]]&gt;=20,Table1[[#This Row],[Frequency (GHz)]]&lt;50),Table1[[#This Row],[Max Chip Thermal Density (W/cm2)]],#N/A)</f>
        <v>#N/A</v>
      </c>
      <c r="AQ27" s="1" t="e">
        <f>IF(AND(ISNUMBER(Table1[[#This Row],[Max Chip Thermal Density (W/cm2)]]),Table1[[#This Row],[Frequency (GHz)]]&gt;=50,Table1[[#This Row],[Frequency (GHz)]]&lt;75),Table1[[#This Row],[Max Chip Thermal Density (W/cm2)]],#N/A)</f>
        <v>#N/A</v>
      </c>
      <c r="AR27" s="1">
        <f>IF(AND(ISNUMBER(Table1[[#This Row],[Max Chip Thermal Density (W/cm2)]]),Table1[[#This Row],[Frequency (GHz)]]&gt;=75,Table1[[#This Row],[Frequency (GHz)]]&lt;110),Table1[[#This Row],[Max Chip Thermal Density (W/cm2)]],#N/A)</f>
        <v>2.666666666666667</v>
      </c>
      <c r="AS27" s="1" t="e">
        <f>IF(AND(ISNUMBER(Table1[[#This Row],[Max Chip Thermal Density (W/cm2)]]),Table1[[#This Row],[Frequency (GHz)]]&gt;=110,Table1[[#This Row],[Frequency (GHz)]]&lt;170),Table1[[#This Row],[Max Chip Thermal Density (W/cm2)]],#N/A)</f>
        <v>#N/A</v>
      </c>
      <c r="AT27" s="1" t="e">
        <f>IF(AND(ISNUMBER(Table1[[#This Row],[Max Chip Thermal Density (W/cm2)]]),Table1[[#This Row],[Frequency (GHz)]]&gt;=170,Table1[[#This Row],[Frequency (GHz)]]&lt;260),Table1[[#This Row],[Max Chip Thermal Density (W/cm2)]],#N/A)</f>
        <v>#N/A</v>
      </c>
      <c r="AU27" s="1" t="e">
        <f>IF(AND(ISNUMBER(Table1[[#This Row],[Max Chip Thermal Density (W/cm2)]]),Table1[[#This Row],[Frequency (GHz)]]&gt;=260),Table1[[#This Row],[Max Chip Thermal Density (W/cm2)]],#N/A)</f>
        <v>#N/A</v>
      </c>
    </row>
    <row r="28" spans="1:47" x14ac:dyDescent="0.2">
      <c r="A28" s="25" t="e">
        <f>IF(ISNUMBER(Table1[[#This Row],[Total Pout/Prad (dBm)]]),Table1[[#This Row],[Total Pout/Prad (dBm)]],#N/A)</f>
        <v>#N/A</v>
      </c>
      <c r="B28" s="1" t="e">
        <f>IF(ISNUMBER(Table1[[#This Row],[Total Pout/Prad (dBm)]]),Table1[[#This Row],[Total '# of TX Elements]],#N/A)</f>
        <v>#N/A</v>
      </c>
      <c r="C28" s="1" t="e">
        <f>IF(ISNUMBER(Table1[[#This Row],[TX EIRP (dBm)]]),Table1[[#This Row],[TX EIRP (dBm)]],#N/A)</f>
        <v>#N/A</v>
      </c>
      <c r="D28" s="1" t="str">
        <f>Table1[[#This Row],[TX Pdc (W)]]</f>
        <v>N/A</v>
      </c>
      <c r="E28"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28" s="1" t="e">
        <f t="shared" si="0"/>
        <v>#N/A</v>
      </c>
      <c r="G28" s="1" t="e">
        <f t="shared" si="1"/>
        <v>#N/A</v>
      </c>
      <c r="L28" s="1" t="e">
        <f>IF(Table1[[#This Row],[Frequency (GHz)]]&lt;20,Plot_Data_Power!F28,#N/A)</f>
        <v>#N/A</v>
      </c>
      <c r="M28" s="1" t="e">
        <f>IF(AND(Table1[[#This Row],[Frequency (GHz)]]&gt;=20,Table1[[#This Row],[Frequency (GHz)]]&lt;50),Plot_Data_Power!F28,#N/A)</f>
        <v>#N/A</v>
      </c>
      <c r="N28" s="1" t="e">
        <f>IF(AND(Table1[[#This Row],[Frequency (GHz)]]&gt;=50,Table1[[#This Row],[Frequency (GHz)]]&lt;75),Plot_Data_Power!F28,#N/A)</f>
        <v>#N/A</v>
      </c>
      <c r="O28" s="1" t="e">
        <f>IF(AND(Table1[[#This Row],[Frequency (GHz)]]&gt;=75,Table1[[#This Row],[Frequency (GHz)]]&lt;110),Plot_Data_Power!F28,#N/A)</f>
        <v>#N/A</v>
      </c>
      <c r="P28" s="1" t="e">
        <f>IF(AND(Table1[[#This Row],[Frequency (GHz)]]&gt;=110,Table1[[#This Row],[Frequency (GHz)]]&lt;170),Plot_Data_Power!F28,#N/A)</f>
        <v>#N/A</v>
      </c>
      <c r="Q28" s="1" t="e">
        <f>IF(AND(Table1[[#This Row],[Frequency (GHz)]]&gt;=170,Table1[[#This Row],[Frequency (GHz)]]&lt;260),Plot_Data_Power!F28,#N/A)</f>
        <v>#N/A</v>
      </c>
      <c r="R28" s="1" t="e">
        <f>IF(Table1[[#This Row],[Frequency (GHz)]]&gt;=260,Plot_Data_Power!F28,#N/A)</f>
        <v>#N/A</v>
      </c>
      <c r="U28" s="1" t="e">
        <f>IF(Table1[[#This Row],[Frequency (GHz)]]&lt;20,Plot_Data_Power!G28,#N/A)</f>
        <v>#N/A</v>
      </c>
      <c r="V28" s="1" t="e">
        <f>IF(AND(Table1[[#This Row],[Frequency (GHz)]]&gt;=20,Table1[[#This Row],[Frequency (GHz)]]&lt;50),Plot_Data_Power!G28,#N/A)</f>
        <v>#N/A</v>
      </c>
      <c r="W28" s="1" t="e">
        <f>IF(AND(Table1[[#This Row],[Frequency (GHz)]]&gt;=50,Table1[[#This Row],[Frequency (GHz)]]&lt;75),Plot_Data_Power!G28,#N/A)</f>
        <v>#N/A</v>
      </c>
      <c r="X28" s="1" t="e">
        <f>IF(AND(Table1[[#This Row],[Frequency (GHz)]]&gt;=75,Table1[[#This Row],[Frequency (GHz)]]&lt;110),Plot_Data_Power!G28,#N/A)</f>
        <v>#N/A</v>
      </c>
      <c r="Y28" s="1" t="e">
        <f>IF(AND(Table1[[#This Row],[Frequency (GHz)]]&gt;=110,Table1[[#This Row],[Frequency (GHz)]]&lt;170),Plot_Data_Power!G28,#N/A)</f>
        <v>#N/A</v>
      </c>
      <c r="Z28" s="1" t="e">
        <f>IF(AND(Table1[[#This Row],[Frequency (GHz)]]&gt;=170,Table1[[#This Row],[Frequency (GHz)]]&lt;260),Plot_Data_Power!G28,#N/A)</f>
        <v>#N/A</v>
      </c>
      <c r="AA28" s="1" t="e">
        <f>IF(Table1[[#This Row],[Frequency (GHz)]]&gt;=260,Plot_Data_Power!G28,#N/A)</f>
        <v>#N/A</v>
      </c>
      <c r="AD28" s="1" t="e">
        <f>IF(ISNUMBER(Table1[[#This Row],[Max Package Thermal Density (W/cm2)]]),Table1[[#This Row],[Max Package Thermal Density (W/cm2)]],#N/A)</f>
        <v>#N/A</v>
      </c>
      <c r="AE28" s="1" t="e">
        <f>IF(AND(ISNUMBER((Table1[[#This Row],[Max Package Thermal Density (W/cm2)]])),Table1[[#This Row],[Frequency (GHz)]]&lt;20),Table1[[#This Row],[Max Package Thermal Density (W/cm2)]],#N/A)</f>
        <v>#N/A</v>
      </c>
      <c r="AF28" s="1" t="e">
        <f>IF(AND(ISNUMBER(Table1[[#This Row],[Max Package Thermal Density (W/cm2)]]),Table1[[#This Row],[Frequency (GHz)]]&gt;=20,Table1[[#This Row],[Frequency (GHz)]]&lt;50),Table1[[#This Row],[Max Package Thermal Density (W/cm2)]],#N/A)</f>
        <v>#N/A</v>
      </c>
      <c r="AG28" s="1" t="e">
        <f>IF(AND(ISNUMBER(Table1[[#This Row],[Max Package Thermal Density (W/cm2)]]),Table1[[#This Row],[Frequency (GHz)]]&gt;=50,Table1[[#This Row],[Frequency (GHz)]]&lt;75),Table1[[#This Row],[Max Package Thermal Density (W/cm2)]],#N/A)</f>
        <v>#N/A</v>
      </c>
      <c r="AH28" s="1" t="e">
        <f>IF(AND(ISNUMBER(Table1[[#This Row],[Max Package Thermal Density (W/cm2)]]),Table1[[#This Row],[Frequency (GHz)]]&gt;=75,Table1[[#This Row],[Frequency (GHz)]]&lt;110),Table1[[#This Row],[Max Package Thermal Density (W/cm2)]],#N/A)</f>
        <v>#N/A</v>
      </c>
      <c r="AI28" s="1" t="e">
        <f>IF(AND(ISNUMBER(Table1[[#This Row],[Max Package Thermal Density (W/cm2)]]),Table1[[#This Row],[Frequency (GHz)]]&gt;=110,Table1[[#This Row],[Frequency (GHz)]]&lt;170),Table1[[#This Row],[Max Package Thermal Density (W/cm2)]],#N/A)</f>
        <v>#N/A</v>
      </c>
      <c r="AJ28" s="1" t="e">
        <f>IF(AND(ISNUMBER(Table1[[#This Row],[Max Package Thermal Density (W/cm2)]]),Table1[[#This Row],[Frequency (GHz)]]&gt;=170,Table1[[#This Row],[Frequency (GHz)]]&lt;260),Table1[[#This Row],[Max Package Thermal Density (W/cm2)]],#N/A)</f>
        <v>#N/A</v>
      </c>
      <c r="AK28" s="1" t="e">
        <f>IF(AND(ISNUMBER(Table1[[#This Row],[Max Package Thermal Density (W/cm2)]]),Table1[[#This Row],[Frequency (GHz)]]&gt;=260),Table1[[#This Row],[Max Package Thermal Density (W/cm2)]],#N/A)</f>
        <v>#N/A</v>
      </c>
      <c r="AN28" s="1">
        <f>IF(ISNUMBER(Table1[[#This Row],[Max Chip Thermal Density (W/cm2)]]),Table1[[#This Row],[Max Chip Thermal Density (W/cm2)]],#N/A)</f>
        <v>2.5925925925925926</v>
      </c>
      <c r="AO28" s="1" t="e">
        <f>IF(AND(ISNUMBER((Table1[[#This Row],[Max Chip Thermal Density (W/cm2)]])),Table1[[#This Row],[Frequency (GHz)]]&lt;20),Table1[[#This Row],[Max Chip Thermal Density (W/cm2)]],#N/A)</f>
        <v>#N/A</v>
      </c>
      <c r="AP28" s="1">
        <f>IF(AND(ISNUMBER(Table1[[#This Row],[Max Chip Thermal Density (W/cm2)]]),Table1[[#This Row],[Frequency (GHz)]]&gt;=20,Table1[[#This Row],[Frequency (GHz)]]&lt;50),Table1[[#This Row],[Max Chip Thermal Density (W/cm2)]],#N/A)</f>
        <v>2.5925925925925926</v>
      </c>
      <c r="AQ28" s="1" t="e">
        <f>IF(AND(ISNUMBER(Table1[[#This Row],[Max Chip Thermal Density (W/cm2)]]),Table1[[#This Row],[Frequency (GHz)]]&gt;=50,Table1[[#This Row],[Frequency (GHz)]]&lt;75),Table1[[#This Row],[Max Chip Thermal Density (W/cm2)]],#N/A)</f>
        <v>#N/A</v>
      </c>
      <c r="AR28" s="1" t="e">
        <f>IF(AND(ISNUMBER(Table1[[#This Row],[Max Chip Thermal Density (W/cm2)]]),Table1[[#This Row],[Frequency (GHz)]]&gt;=75,Table1[[#This Row],[Frequency (GHz)]]&lt;110),Table1[[#This Row],[Max Chip Thermal Density (W/cm2)]],#N/A)</f>
        <v>#N/A</v>
      </c>
      <c r="AS28" s="1" t="e">
        <f>IF(AND(ISNUMBER(Table1[[#This Row],[Max Chip Thermal Density (W/cm2)]]),Table1[[#This Row],[Frequency (GHz)]]&gt;=110,Table1[[#This Row],[Frequency (GHz)]]&lt;170),Table1[[#This Row],[Max Chip Thermal Density (W/cm2)]],#N/A)</f>
        <v>#N/A</v>
      </c>
      <c r="AT28" s="1" t="e">
        <f>IF(AND(ISNUMBER(Table1[[#This Row],[Max Chip Thermal Density (W/cm2)]]),Table1[[#This Row],[Frequency (GHz)]]&gt;=170,Table1[[#This Row],[Frequency (GHz)]]&lt;260),Table1[[#This Row],[Max Chip Thermal Density (W/cm2)]],#N/A)</f>
        <v>#N/A</v>
      </c>
      <c r="AU28" s="1" t="e">
        <f>IF(AND(ISNUMBER(Table1[[#This Row],[Max Chip Thermal Density (W/cm2)]]),Table1[[#This Row],[Frequency (GHz)]]&gt;=260),Table1[[#This Row],[Max Chip Thermal Density (W/cm2)]],#N/A)</f>
        <v>#N/A</v>
      </c>
    </row>
    <row r="29" spans="1:47" x14ac:dyDescent="0.2">
      <c r="A29" s="25" t="e">
        <f>IF(ISNUMBER(Table1[[#This Row],[Total Pout/Prad (dBm)]]),Table1[[#This Row],[Total Pout/Prad (dBm)]],#N/A)</f>
        <v>#N/A</v>
      </c>
      <c r="B29" s="1" t="e">
        <f>IF(ISNUMBER(Table1[[#This Row],[Total Pout/Prad (dBm)]]),Table1[[#This Row],[Total '# of TX Elements]],#N/A)</f>
        <v>#N/A</v>
      </c>
      <c r="C29" s="1" t="e">
        <f>IF(ISNUMBER(Table1[[#This Row],[TX EIRP (dBm)]]),Table1[[#This Row],[TX EIRP (dBm)]],#N/A)</f>
        <v>#N/A</v>
      </c>
      <c r="D29" s="1" t="str">
        <f>Table1[[#This Row],[TX Pdc (W)]]</f>
        <v>N/A</v>
      </c>
      <c r="E29"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29" s="1" t="e">
        <f t="shared" si="0"/>
        <v>#N/A</v>
      </c>
      <c r="G29" s="1" t="e">
        <f t="shared" si="1"/>
        <v>#N/A</v>
      </c>
      <c r="L29" s="1" t="e">
        <f>IF(Table1[[#This Row],[Frequency (GHz)]]&lt;20,Plot_Data_Power!F29,#N/A)</f>
        <v>#N/A</v>
      </c>
      <c r="M29" s="1" t="e">
        <f>IF(AND(Table1[[#This Row],[Frequency (GHz)]]&gt;=20,Table1[[#This Row],[Frequency (GHz)]]&lt;50),Plot_Data_Power!F29,#N/A)</f>
        <v>#N/A</v>
      </c>
      <c r="N29" s="1" t="e">
        <f>IF(AND(Table1[[#This Row],[Frequency (GHz)]]&gt;=50,Table1[[#This Row],[Frequency (GHz)]]&lt;75),Plot_Data_Power!F29,#N/A)</f>
        <v>#N/A</v>
      </c>
      <c r="O29" s="1" t="e">
        <f>IF(AND(Table1[[#This Row],[Frequency (GHz)]]&gt;=75,Table1[[#This Row],[Frequency (GHz)]]&lt;110),Plot_Data_Power!F29,#N/A)</f>
        <v>#N/A</v>
      </c>
      <c r="P29" s="1" t="e">
        <f>IF(AND(Table1[[#This Row],[Frequency (GHz)]]&gt;=110,Table1[[#This Row],[Frequency (GHz)]]&lt;170),Plot_Data_Power!F29,#N/A)</f>
        <v>#N/A</v>
      </c>
      <c r="Q29" s="1" t="e">
        <f>IF(AND(Table1[[#This Row],[Frequency (GHz)]]&gt;=170,Table1[[#This Row],[Frequency (GHz)]]&lt;260),Plot_Data_Power!F29,#N/A)</f>
        <v>#N/A</v>
      </c>
      <c r="R29" s="1" t="e">
        <f>IF(Table1[[#This Row],[Frequency (GHz)]]&gt;=260,Plot_Data_Power!F29,#N/A)</f>
        <v>#N/A</v>
      </c>
      <c r="U29" s="1" t="e">
        <f>IF(Table1[[#This Row],[Frequency (GHz)]]&lt;20,Plot_Data_Power!G29,#N/A)</f>
        <v>#N/A</v>
      </c>
      <c r="V29" s="1" t="e">
        <f>IF(AND(Table1[[#This Row],[Frequency (GHz)]]&gt;=20,Table1[[#This Row],[Frequency (GHz)]]&lt;50),Plot_Data_Power!G29,#N/A)</f>
        <v>#N/A</v>
      </c>
      <c r="W29" s="1" t="e">
        <f>IF(AND(Table1[[#This Row],[Frequency (GHz)]]&gt;=50,Table1[[#This Row],[Frequency (GHz)]]&lt;75),Plot_Data_Power!G29,#N/A)</f>
        <v>#N/A</v>
      </c>
      <c r="X29" s="1" t="e">
        <f>IF(AND(Table1[[#This Row],[Frequency (GHz)]]&gt;=75,Table1[[#This Row],[Frequency (GHz)]]&lt;110),Plot_Data_Power!G29,#N/A)</f>
        <v>#N/A</v>
      </c>
      <c r="Y29" s="1" t="e">
        <f>IF(AND(Table1[[#This Row],[Frequency (GHz)]]&gt;=110,Table1[[#This Row],[Frequency (GHz)]]&lt;170),Plot_Data_Power!G29,#N/A)</f>
        <v>#N/A</v>
      </c>
      <c r="Z29" s="1" t="e">
        <f>IF(AND(Table1[[#This Row],[Frequency (GHz)]]&gt;=170,Table1[[#This Row],[Frequency (GHz)]]&lt;260),Plot_Data_Power!G29,#N/A)</f>
        <v>#N/A</v>
      </c>
      <c r="AA29" s="1" t="e">
        <f>IF(Table1[[#This Row],[Frequency (GHz)]]&gt;=260,Plot_Data_Power!G29,#N/A)</f>
        <v>#N/A</v>
      </c>
      <c r="AD29" s="1" t="e">
        <f>IF(ISNUMBER(Table1[[#This Row],[Max Package Thermal Density (W/cm2)]]),Table1[[#This Row],[Max Package Thermal Density (W/cm2)]],#N/A)</f>
        <v>#N/A</v>
      </c>
      <c r="AE29" s="1" t="e">
        <f>IF(AND(ISNUMBER((Table1[[#This Row],[Max Package Thermal Density (W/cm2)]])),Table1[[#This Row],[Frequency (GHz)]]&lt;20),Table1[[#This Row],[Max Package Thermal Density (W/cm2)]],#N/A)</f>
        <v>#N/A</v>
      </c>
      <c r="AF29" s="1" t="e">
        <f>IF(AND(ISNUMBER(Table1[[#This Row],[Max Package Thermal Density (W/cm2)]]),Table1[[#This Row],[Frequency (GHz)]]&gt;=20,Table1[[#This Row],[Frequency (GHz)]]&lt;50),Table1[[#This Row],[Max Package Thermal Density (W/cm2)]],#N/A)</f>
        <v>#N/A</v>
      </c>
      <c r="AG29" s="1" t="e">
        <f>IF(AND(ISNUMBER(Table1[[#This Row],[Max Package Thermal Density (W/cm2)]]),Table1[[#This Row],[Frequency (GHz)]]&gt;=50,Table1[[#This Row],[Frequency (GHz)]]&lt;75),Table1[[#This Row],[Max Package Thermal Density (W/cm2)]],#N/A)</f>
        <v>#N/A</v>
      </c>
      <c r="AH29" s="1" t="e">
        <f>IF(AND(ISNUMBER(Table1[[#This Row],[Max Package Thermal Density (W/cm2)]]),Table1[[#This Row],[Frequency (GHz)]]&gt;=75,Table1[[#This Row],[Frequency (GHz)]]&lt;110),Table1[[#This Row],[Max Package Thermal Density (W/cm2)]],#N/A)</f>
        <v>#N/A</v>
      </c>
      <c r="AI29" s="1" t="e">
        <f>IF(AND(ISNUMBER(Table1[[#This Row],[Max Package Thermal Density (W/cm2)]]),Table1[[#This Row],[Frequency (GHz)]]&gt;=110,Table1[[#This Row],[Frequency (GHz)]]&lt;170),Table1[[#This Row],[Max Package Thermal Density (W/cm2)]],#N/A)</f>
        <v>#N/A</v>
      </c>
      <c r="AJ29" s="1" t="e">
        <f>IF(AND(ISNUMBER(Table1[[#This Row],[Max Package Thermal Density (W/cm2)]]),Table1[[#This Row],[Frequency (GHz)]]&gt;=170,Table1[[#This Row],[Frequency (GHz)]]&lt;260),Table1[[#This Row],[Max Package Thermal Density (W/cm2)]],#N/A)</f>
        <v>#N/A</v>
      </c>
      <c r="AK29" s="1" t="e">
        <f>IF(AND(ISNUMBER(Table1[[#This Row],[Max Package Thermal Density (W/cm2)]]),Table1[[#This Row],[Frequency (GHz)]]&gt;=260),Table1[[#This Row],[Max Package Thermal Density (W/cm2)]],#N/A)</f>
        <v>#N/A</v>
      </c>
      <c r="AN29" s="1">
        <f>IF(ISNUMBER(Table1[[#This Row],[Max Chip Thermal Density (W/cm2)]]),Table1[[#This Row],[Max Chip Thermal Density (W/cm2)]],#N/A)</f>
        <v>2.5925925925925926</v>
      </c>
      <c r="AO29" s="1" t="e">
        <f>IF(AND(ISNUMBER((Table1[[#This Row],[Max Chip Thermal Density (W/cm2)]])),Table1[[#This Row],[Frequency (GHz)]]&lt;20),Table1[[#This Row],[Max Chip Thermal Density (W/cm2)]],#N/A)</f>
        <v>#N/A</v>
      </c>
      <c r="AP29" s="1">
        <f>IF(AND(ISNUMBER(Table1[[#This Row],[Max Chip Thermal Density (W/cm2)]]),Table1[[#This Row],[Frequency (GHz)]]&gt;=20,Table1[[#This Row],[Frequency (GHz)]]&lt;50),Table1[[#This Row],[Max Chip Thermal Density (W/cm2)]],#N/A)</f>
        <v>2.5925925925925926</v>
      </c>
      <c r="AQ29" s="1" t="e">
        <f>IF(AND(ISNUMBER(Table1[[#This Row],[Max Chip Thermal Density (W/cm2)]]),Table1[[#This Row],[Frequency (GHz)]]&gt;=50,Table1[[#This Row],[Frequency (GHz)]]&lt;75),Table1[[#This Row],[Max Chip Thermal Density (W/cm2)]],#N/A)</f>
        <v>#N/A</v>
      </c>
      <c r="AR29" s="1" t="e">
        <f>IF(AND(ISNUMBER(Table1[[#This Row],[Max Chip Thermal Density (W/cm2)]]),Table1[[#This Row],[Frequency (GHz)]]&gt;=75,Table1[[#This Row],[Frequency (GHz)]]&lt;110),Table1[[#This Row],[Max Chip Thermal Density (W/cm2)]],#N/A)</f>
        <v>#N/A</v>
      </c>
      <c r="AS29" s="1" t="e">
        <f>IF(AND(ISNUMBER(Table1[[#This Row],[Max Chip Thermal Density (W/cm2)]]),Table1[[#This Row],[Frequency (GHz)]]&gt;=110,Table1[[#This Row],[Frequency (GHz)]]&lt;170),Table1[[#This Row],[Max Chip Thermal Density (W/cm2)]],#N/A)</f>
        <v>#N/A</v>
      </c>
      <c r="AT29" s="1" t="e">
        <f>IF(AND(ISNUMBER(Table1[[#This Row],[Max Chip Thermal Density (W/cm2)]]),Table1[[#This Row],[Frequency (GHz)]]&gt;=170,Table1[[#This Row],[Frequency (GHz)]]&lt;260),Table1[[#This Row],[Max Chip Thermal Density (W/cm2)]],#N/A)</f>
        <v>#N/A</v>
      </c>
      <c r="AU29" s="1" t="e">
        <f>IF(AND(ISNUMBER(Table1[[#This Row],[Max Chip Thermal Density (W/cm2)]]),Table1[[#This Row],[Frequency (GHz)]]&gt;=260),Table1[[#This Row],[Max Chip Thermal Density (W/cm2)]],#N/A)</f>
        <v>#N/A</v>
      </c>
    </row>
    <row r="30" spans="1:47" x14ac:dyDescent="0.2">
      <c r="A30" s="25">
        <f>IF(ISNUMBER(Table1[[#This Row],[Total Pout/Prad (dBm)]]),Table1[[#This Row],[Total Pout/Prad (dBm)]],#N/A)</f>
        <v>27.802112417116057</v>
      </c>
      <c r="B30" s="1">
        <f>IF(ISNUMBER(Table1[[#This Row],[Total Pout/Prad (dBm)]]),Table1[[#This Row],[Total '# of TX Elements]],#N/A)</f>
        <v>24</v>
      </c>
      <c r="C30" s="1">
        <f>IF(ISNUMBER(Table1[[#This Row],[TX EIRP (dBm)]]),Table1[[#This Row],[TX EIRP (dBm)]],#N/A)</f>
        <v>35</v>
      </c>
      <c r="D30" s="1">
        <f>Table1[[#This Row],[TX Pdc (W)]]</f>
        <v>2.16</v>
      </c>
      <c r="E30"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30" s="1">
        <f t="shared" si="0"/>
        <v>27.909849238995349</v>
      </c>
      <c r="G30" s="1">
        <f t="shared" si="1"/>
        <v>146.40174352631391</v>
      </c>
      <c r="L30" s="1" t="e">
        <f>IF(Table1[[#This Row],[Frequency (GHz)]]&lt;20,Plot_Data_Power!F30,#N/A)</f>
        <v>#N/A</v>
      </c>
      <c r="M30" s="1">
        <f>IF(AND(Table1[[#This Row],[Frequency (GHz)]]&gt;=20,Table1[[#This Row],[Frequency (GHz)]]&lt;50),Plot_Data_Power!F30,#N/A)</f>
        <v>27.909849238995349</v>
      </c>
      <c r="N30" s="1" t="e">
        <f>IF(AND(Table1[[#This Row],[Frequency (GHz)]]&gt;=50,Table1[[#This Row],[Frequency (GHz)]]&lt;75),Plot_Data_Power!F30,#N/A)</f>
        <v>#N/A</v>
      </c>
      <c r="O30" s="1" t="e">
        <f>IF(AND(Table1[[#This Row],[Frequency (GHz)]]&gt;=75,Table1[[#This Row],[Frequency (GHz)]]&lt;110),Plot_Data_Power!F30,#N/A)</f>
        <v>#N/A</v>
      </c>
      <c r="P30" s="1" t="e">
        <f>IF(AND(Table1[[#This Row],[Frequency (GHz)]]&gt;=110,Table1[[#This Row],[Frequency (GHz)]]&lt;170),Plot_Data_Power!F30,#N/A)</f>
        <v>#N/A</v>
      </c>
      <c r="Q30" s="1" t="e">
        <f>IF(AND(Table1[[#This Row],[Frequency (GHz)]]&gt;=170,Table1[[#This Row],[Frequency (GHz)]]&lt;260),Plot_Data_Power!F30,#N/A)</f>
        <v>#N/A</v>
      </c>
      <c r="R30" s="1" t="e">
        <f>IF(Table1[[#This Row],[Frequency (GHz)]]&gt;=260,Plot_Data_Power!F30,#N/A)</f>
        <v>#N/A</v>
      </c>
      <c r="U30" s="1" t="e">
        <f>IF(Table1[[#This Row],[Frequency (GHz)]]&lt;20,Plot_Data_Power!G30,#N/A)</f>
        <v>#N/A</v>
      </c>
      <c r="V30" s="1">
        <f>IF(AND(Table1[[#This Row],[Frequency (GHz)]]&gt;=20,Table1[[#This Row],[Frequency (GHz)]]&lt;50),Plot_Data_Power!G30,#N/A)</f>
        <v>146.40174352631391</v>
      </c>
      <c r="W30" s="1" t="e">
        <f>IF(AND(Table1[[#This Row],[Frequency (GHz)]]&gt;=50,Table1[[#This Row],[Frequency (GHz)]]&lt;75),Plot_Data_Power!G30,#N/A)</f>
        <v>#N/A</v>
      </c>
      <c r="X30" s="1" t="e">
        <f>IF(AND(Table1[[#This Row],[Frequency (GHz)]]&gt;=75,Table1[[#This Row],[Frequency (GHz)]]&lt;110),Plot_Data_Power!G30,#N/A)</f>
        <v>#N/A</v>
      </c>
      <c r="Y30" s="1" t="e">
        <f>IF(AND(Table1[[#This Row],[Frequency (GHz)]]&gt;=110,Table1[[#This Row],[Frequency (GHz)]]&lt;170),Plot_Data_Power!G30,#N/A)</f>
        <v>#N/A</v>
      </c>
      <c r="Z30" s="1" t="e">
        <f>IF(AND(Table1[[#This Row],[Frequency (GHz)]]&gt;=170,Table1[[#This Row],[Frequency (GHz)]]&lt;260),Plot_Data_Power!G30,#N/A)</f>
        <v>#N/A</v>
      </c>
      <c r="AA30" s="1" t="e">
        <f>IF(Table1[[#This Row],[Frequency (GHz)]]&gt;=260,Plot_Data_Power!G30,#N/A)</f>
        <v>#N/A</v>
      </c>
      <c r="AD30" s="1" t="e">
        <f>IF(ISNUMBER(Table1[[#This Row],[Max Package Thermal Density (W/cm2)]]),Table1[[#This Row],[Max Package Thermal Density (W/cm2)]],#N/A)</f>
        <v>#N/A</v>
      </c>
      <c r="AE30" s="1" t="e">
        <f>IF(AND(ISNUMBER((Table1[[#This Row],[Max Package Thermal Density (W/cm2)]])),Table1[[#This Row],[Frequency (GHz)]]&lt;20),Table1[[#This Row],[Max Package Thermal Density (W/cm2)]],#N/A)</f>
        <v>#N/A</v>
      </c>
      <c r="AF30" s="1" t="e">
        <f>IF(AND(ISNUMBER(Table1[[#This Row],[Max Package Thermal Density (W/cm2)]]),Table1[[#This Row],[Frequency (GHz)]]&gt;=20,Table1[[#This Row],[Frequency (GHz)]]&lt;50),Table1[[#This Row],[Max Package Thermal Density (W/cm2)]],#N/A)</f>
        <v>#N/A</v>
      </c>
      <c r="AG30" s="1" t="e">
        <f>IF(AND(ISNUMBER(Table1[[#This Row],[Max Package Thermal Density (W/cm2)]]),Table1[[#This Row],[Frequency (GHz)]]&gt;=50,Table1[[#This Row],[Frequency (GHz)]]&lt;75),Table1[[#This Row],[Max Package Thermal Density (W/cm2)]],#N/A)</f>
        <v>#N/A</v>
      </c>
      <c r="AH30" s="1" t="e">
        <f>IF(AND(ISNUMBER(Table1[[#This Row],[Max Package Thermal Density (W/cm2)]]),Table1[[#This Row],[Frequency (GHz)]]&gt;=75,Table1[[#This Row],[Frequency (GHz)]]&lt;110),Table1[[#This Row],[Max Package Thermal Density (W/cm2)]],#N/A)</f>
        <v>#N/A</v>
      </c>
      <c r="AI30" s="1" t="e">
        <f>IF(AND(ISNUMBER(Table1[[#This Row],[Max Package Thermal Density (W/cm2)]]),Table1[[#This Row],[Frequency (GHz)]]&gt;=110,Table1[[#This Row],[Frequency (GHz)]]&lt;170),Table1[[#This Row],[Max Package Thermal Density (W/cm2)]],#N/A)</f>
        <v>#N/A</v>
      </c>
      <c r="AJ30" s="1" t="e">
        <f>IF(AND(ISNUMBER(Table1[[#This Row],[Max Package Thermal Density (W/cm2)]]),Table1[[#This Row],[Frequency (GHz)]]&gt;=170,Table1[[#This Row],[Frequency (GHz)]]&lt;260),Table1[[#This Row],[Max Package Thermal Density (W/cm2)]],#N/A)</f>
        <v>#N/A</v>
      </c>
      <c r="AK30" s="1" t="e">
        <f>IF(AND(ISNUMBER(Table1[[#This Row],[Max Package Thermal Density (W/cm2)]]),Table1[[#This Row],[Frequency (GHz)]]&gt;=260),Table1[[#This Row],[Max Package Thermal Density (W/cm2)]],#N/A)</f>
        <v>#N/A</v>
      </c>
      <c r="AN30" s="1">
        <f>IF(ISNUMBER(Table1[[#This Row],[Max Chip Thermal Density (W/cm2)]]),Table1[[#This Row],[Max Chip Thermal Density (W/cm2)]],#N/A)</f>
        <v>3.8904198411411901</v>
      </c>
      <c r="AO30" s="1" t="e">
        <f>IF(AND(ISNUMBER((Table1[[#This Row],[Max Chip Thermal Density (W/cm2)]])),Table1[[#This Row],[Frequency (GHz)]]&lt;20),Table1[[#This Row],[Max Chip Thermal Density (W/cm2)]],#N/A)</f>
        <v>#N/A</v>
      </c>
      <c r="AP30" s="1">
        <f>IF(AND(ISNUMBER(Table1[[#This Row],[Max Chip Thermal Density (W/cm2)]]),Table1[[#This Row],[Frequency (GHz)]]&gt;=20,Table1[[#This Row],[Frequency (GHz)]]&lt;50),Table1[[#This Row],[Max Chip Thermal Density (W/cm2)]],#N/A)</f>
        <v>3.8904198411411901</v>
      </c>
      <c r="AQ30" s="1" t="e">
        <f>IF(AND(ISNUMBER(Table1[[#This Row],[Max Chip Thermal Density (W/cm2)]]),Table1[[#This Row],[Frequency (GHz)]]&gt;=50,Table1[[#This Row],[Frequency (GHz)]]&lt;75),Table1[[#This Row],[Max Chip Thermal Density (W/cm2)]],#N/A)</f>
        <v>#N/A</v>
      </c>
      <c r="AR30" s="1" t="e">
        <f>IF(AND(ISNUMBER(Table1[[#This Row],[Max Chip Thermal Density (W/cm2)]]),Table1[[#This Row],[Frequency (GHz)]]&gt;=75,Table1[[#This Row],[Frequency (GHz)]]&lt;110),Table1[[#This Row],[Max Chip Thermal Density (W/cm2)]],#N/A)</f>
        <v>#N/A</v>
      </c>
      <c r="AS30" s="1" t="e">
        <f>IF(AND(ISNUMBER(Table1[[#This Row],[Max Chip Thermal Density (W/cm2)]]),Table1[[#This Row],[Frequency (GHz)]]&gt;=110,Table1[[#This Row],[Frequency (GHz)]]&lt;170),Table1[[#This Row],[Max Chip Thermal Density (W/cm2)]],#N/A)</f>
        <v>#N/A</v>
      </c>
      <c r="AT30" s="1" t="e">
        <f>IF(AND(ISNUMBER(Table1[[#This Row],[Max Chip Thermal Density (W/cm2)]]),Table1[[#This Row],[Frequency (GHz)]]&gt;=170,Table1[[#This Row],[Frequency (GHz)]]&lt;260),Table1[[#This Row],[Max Chip Thermal Density (W/cm2)]],#N/A)</f>
        <v>#N/A</v>
      </c>
      <c r="AU30" s="1" t="e">
        <f>IF(AND(ISNUMBER(Table1[[#This Row],[Max Chip Thermal Density (W/cm2)]]),Table1[[#This Row],[Frequency (GHz)]]&gt;=260),Table1[[#This Row],[Max Chip Thermal Density (W/cm2)]],#N/A)</f>
        <v>#N/A</v>
      </c>
    </row>
    <row r="31" spans="1:47" x14ac:dyDescent="0.2">
      <c r="A31" s="25">
        <f>IF(ISNUMBER(Table1[[#This Row],[Total Pout/Prad (dBm)]]),Table1[[#This Row],[Total Pout/Prad (dBm)]],#N/A)</f>
        <v>21.583624920952499</v>
      </c>
      <c r="B31" s="1">
        <f>IF(ISNUMBER(Table1[[#This Row],[Total Pout/Prad (dBm)]]),Table1[[#This Row],[Total '# of TX Elements]],#N/A)</f>
        <v>144</v>
      </c>
      <c r="C31" s="1">
        <f>IF(ISNUMBER(Table1[[#This Row],[TX EIRP (dBm)]]),Table1[[#This Row],[TX EIRP (dBm)]],#N/A)</f>
        <v>51</v>
      </c>
      <c r="D31" s="1">
        <f>Table1[[#This Row],[TX Pdc (W)]]</f>
        <v>8.4</v>
      </c>
      <c r="E31" s="1">
        <f>IF(ISNUMBER(Table1[[#This Row],[Array Aperture Size (cm2)]]),Table1[[#This Row],[Array Aperture Size (cm2)]],IF(Table1[[#This Row],[Antenna on (None, Chip, AiP, PCB)]]="Chip",Table1[[#This Row],[Chip Core Size - X (mm)]]*Table1[[#This Row],[Chip Core Size -Y (mm)]]/100*Table1[[#This Row],['# of IC per Tile]]*Table1[[#This Row],['# of Array Tile]],#N/A))</f>
        <v>18.950400000000005</v>
      </c>
      <c r="F31" s="1">
        <f t="shared" si="0"/>
        <v>1.7142857142857162</v>
      </c>
      <c r="G31" s="1">
        <f t="shared" si="1"/>
        <v>1498.7207283263911</v>
      </c>
      <c r="L31" s="1" t="e">
        <f>IF(Table1[[#This Row],[Frequency (GHz)]]&lt;20,Plot_Data_Power!F31,#N/A)</f>
        <v>#N/A</v>
      </c>
      <c r="M31" s="1" t="e">
        <f>IF(AND(Table1[[#This Row],[Frequency (GHz)]]&gt;=20,Table1[[#This Row],[Frequency (GHz)]]&lt;50),Plot_Data_Power!F31,#N/A)</f>
        <v>#N/A</v>
      </c>
      <c r="N31" s="1">
        <f>IF(AND(Table1[[#This Row],[Frequency (GHz)]]&gt;=50,Table1[[#This Row],[Frequency (GHz)]]&lt;75),Plot_Data_Power!F31,#N/A)</f>
        <v>1.7142857142857162</v>
      </c>
      <c r="O31" s="1" t="e">
        <f>IF(AND(Table1[[#This Row],[Frequency (GHz)]]&gt;=75,Table1[[#This Row],[Frequency (GHz)]]&lt;110),Plot_Data_Power!F31,#N/A)</f>
        <v>#N/A</v>
      </c>
      <c r="P31" s="1" t="e">
        <f>IF(AND(Table1[[#This Row],[Frequency (GHz)]]&gt;=110,Table1[[#This Row],[Frequency (GHz)]]&lt;170),Plot_Data_Power!F31,#N/A)</f>
        <v>#N/A</v>
      </c>
      <c r="Q31" s="1" t="e">
        <f>IF(AND(Table1[[#This Row],[Frequency (GHz)]]&gt;=170,Table1[[#This Row],[Frequency (GHz)]]&lt;260),Plot_Data_Power!F31,#N/A)</f>
        <v>#N/A</v>
      </c>
      <c r="R31" s="1" t="e">
        <f>IF(Table1[[#This Row],[Frequency (GHz)]]&gt;=260,Plot_Data_Power!F31,#N/A)</f>
        <v>#N/A</v>
      </c>
      <c r="U31" s="1" t="e">
        <f>IF(Table1[[#This Row],[Frequency (GHz)]]&lt;20,Plot_Data_Power!G31,#N/A)</f>
        <v>#N/A</v>
      </c>
      <c r="V31" s="1" t="e">
        <f>IF(AND(Table1[[#This Row],[Frequency (GHz)]]&gt;=20,Table1[[#This Row],[Frequency (GHz)]]&lt;50),Plot_Data_Power!G31,#N/A)</f>
        <v>#N/A</v>
      </c>
      <c r="W31" s="1">
        <f>IF(AND(Table1[[#This Row],[Frequency (GHz)]]&gt;=50,Table1[[#This Row],[Frequency (GHz)]]&lt;75),Plot_Data_Power!G31,#N/A)</f>
        <v>1498.7207283263911</v>
      </c>
      <c r="X31" s="1" t="e">
        <f>IF(AND(Table1[[#This Row],[Frequency (GHz)]]&gt;=75,Table1[[#This Row],[Frequency (GHz)]]&lt;110),Plot_Data_Power!G31,#N/A)</f>
        <v>#N/A</v>
      </c>
      <c r="Y31" s="1" t="e">
        <f>IF(AND(Table1[[#This Row],[Frequency (GHz)]]&gt;=110,Table1[[#This Row],[Frequency (GHz)]]&lt;170),Plot_Data_Power!G31,#N/A)</f>
        <v>#N/A</v>
      </c>
      <c r="Z31" s="1" t="e">
        <f>IF(AND(Table1[[#This Row],[Frequency (GHz)]]&gt;=170,Table1[[#This Row],[Frequency (GHz)]]&lt;260),Plot_Data_Power!G31,#N/A)</f>
        <v>#N/A</v>
      </c>
      <c r="AA31" s="1" t="e">
        <f>IF(Table1[[#This Row],[Frequency (GHz)]]&gt;=260,Plot_Data_Power!G31,#N/A)</f>
        <v>#N/A</v>
      </c>
      <c r="AD31" s="1">
        <f>IF(ISNUMBER(Table1[[#This Row],[Max Package Thermal Density (W/cm2)]]),Table1[[#This Row],[Max Package Thermal Density (W/cm2)]],#N/A)</f>
        <v>0.44326241134751765</v>
      </c>
      <c r="AE31" s="1" t="e">
        <f>IF(AND(ISNUMBER((Table1[[#This Row],[Max Package Thermal Density (W/cm2)]])),Table1[[#This Row],[Frequency (GHz)]]&lt;20),Table1[[#This Row],[Max Package Thermal Density (W/cm2)]],#N/A)</f>
        <v>#N/A</v>
      </c>
      <c r="AF31" s="1" t="e">
        <f>IF(AND(ISNUMBER(Table1[[#This Row],[Max Package Thermal Density (W/cm2)]]),Table1[[#This Row],[Frequency (GHz)]]&gt;=20,Table1[[#This Row],[Frequency (GHz)]]&lt;50),Table1[[#This Row],[Max Package Thermal Density (W/cm2)]],#N/A)</f>
        <v>#N/A</v>
      </c>
      <c r="AG31" s="1">
        <f>IF(AND(ISNUMBER(Table1[[#This Row],[Max Package Thermal Density (W/cm2)]]),Table1[[#This Row],[Frequency (GHz)]]&gt;=50,Table1[[#This Row],[Frequency (GHz)]]&lt;75),Table1[[#This Row],[Max Package Thermal Density (W/cm2)]],#N/A)</f>
        <v>0.44326241134751765</v>
      </c>
      <c r="AH31" s="1" t="e">
        <f>IF(AND(ISNUMBER(Table1[[#This Row],[Max Package Thermal Density (W/cm2)]]),Table1[[#This Row],[Frequency (GHz)]]&gt;=75,Table1[[#This Row],[Frequency (GHz)]]&lt;110),Table1[[#This Row],[Max Package Thermal Density (W/cm2)]],#N/A)</f>
        <v>#N/A</v>
      </c>
      <c r="AI31" s="1" t="e">
        <f>IF(AND(ISNUMBER(Table1[[#This Row],[Max Package Thermal Density (W/cm2)]]),Table1[[#This Row],[Frequency (GHz)]]&gt;=110,Table1[[#This Row],[Frequency (GHz)]]&lt;170),Table1[[#This Row],[Max Package Thermal Density (W/cm2)]],#N/A)</f>
        <v>#N/A</v>
      </c>
      <c r="AJ31" s="1" t="e">
        <f>IF(AND(ISNUMBER(Table1[[#This Row],[Max Package Thermal Density (W/cm2)]]),Table1[[#This Row],[Frequency (GHz)]]&gt;=170,Table1[[#This Row],[Frequency (GHz)]]&lt;260),Table1[[#This Row],[Max Package Thermal Density (W/cm2)]],#N/A)</f>
        <v>#N/A</v>
      </c>
      <c r="AK31" s="1" t="e">
        <f>IF(AND(ISNUMBER(Table1[[#This Row],[Max Package Thermal Density (W/cm2)]]),Table1[[#This Row],[Frequency (GHz)]]&gt;=260),Table1[[#This Row],[Max Package Thermal Density (W/cm2)]],#N/A)</f>
        <v>#N/A</v>
      </c>
      <c r="AN31" s="1">
        <f>IF(ISNUMBER(Table1[[#This Row],[Max Chip Thermal Density (W/cm2)]]),Table1[[#This Row],[Max Chip Thermal Density (W/cm2)]],#N/A)</f>
        <v>0.23972602739726032</v>
      </c>
      <c r="AO31" s="1" t="e">
        <f>IF(AND(ISNUMBER((Table1[[#This Row],[Max Chip Thermal Density (W/cm2)]])),Table1[[#This Row],[Frequency (GHz)]]&lt;20),Table1[[#This Row],[Max Chip Thermal Density (W/cm2)]],#N/A)</f>
        <v>#N/A</v>
      </c>
      <c r="AP31" s="1" t="e">
        <f>IF(AND(ISNUMBER(Table1[[#This Row],[Max Chip Thermal Density (W/cm2)]]),Table1[[#This Row],[Frequency (GHz)]]&gt;=20,Table1[[#This Row],[Frequency (GHz)]]&lt;50),Table1[[#This Row],[Max Chip Thermal Density (W/cm2)]],#N/A)</f>
        <v>#N/A</v>
      </c>
      <c r="AQ31" s="1">
        <f>IF(AND(ISNUMBER(Table1[[#This Row],[Max Chip Thermal Density (W/cm2)]]),Table1[[#This Row],[Frequency (GHz)]]&gt;=50,Table1[[#This Row],[Frequency (GHz)]]&lt;75),Table1[[#This Row],[Max Chip Thermal Density (W/cm2)]],#N/A)</f>
        <v>0.23972602739726032</v>
      </c>
      <c r="AR31" s="1" t="e">
        <f>IF(AND(ISNUMBER(Table1[[#This Row],[Max Chip Thermal Density (W/cm2)]]),Table1[[#This Row],[Frequency (GHz)]]&gt;=75,Table1[[#This Row],[Frequency (GHz)]]&lt;110),Table1[[#This Row],[Max Chip Thermal Density (W/cm2)]],#N/A)</f>
        <v>#N/A</v>
      </c>
      <c r="AS31" s="1" t="e">
        <f>IF(AND(ISNUMBER(Table1[[#This Row],[Max Chip Thermal Density (W/cm2)]]),Table1[[#This Row],[Frequency (GHz)]]&gt;=110,Table1[[#This Row],[Frequency (GHz)]]&lt;170),Table1[[#This Row],[Max Chip Thermal Density (W/cm2)]],#N/A)</f>
        <v>#N/A</v>
      </c>
      <c r="AT31" s="1" t="e">
        <f>IF(AND(ISNUMBER(Table1[[#This Row],[Max Chip Thermal Density (W/cm2)]]),Table1[[#This Row],[Frequency (GHz)]]&gt;=170,Table1[[#This Row],[Frequency (GHz)]]&lt;260),Table1[[#This Row],[Max Chip Thermal Density (W/cm2)]],#N/A)</f>
        <v>#N/A</v>
      </c>
      <c r="AU31" s="1" t="e">
        <f>IF(AND(ISNUMBER(Table1[[#This Row],[Max Chip Thermal Density (W/cm2)]]),Table1[[#This Row],[Frequency (GHz)]]&gt;=260),Table1[[#This Row],[Max Chip Thermal Density (W/cm2)]],#N/A)</f>
        <v>#N/A</v>
      </c>
    </row>
    <row r="32" spans="1:47" x14ac:dyDescent="0.2">
      <c r="A32" s="25" t="e">
        <f>IF(ISNUMBER(Table1[[#This Row],[Total Pout/Prad (dBm)]]),Table1[[#This Row],[Total Pout/Prad (dBm)]],#N/A)</f>
        <v>#N/A</v>
      </c>
      <c r="B32" s="1" t="e">
        <f>IF(ISNUMBER(Table1[[#This Row],[Total Pout/Prad (dBm)]]),Table1[[#This Row],[Total '# of TX Elements]],#N/A)</f>
        <v>#N/A</v>
      </c>
      <c r="C32" s="1" t="e">
        <f>IF(ISNUMBER(Table1[[#This Row],[TX EIRP (dBm)]]),Table1[[#This Row],[TX EIRP (dBm)]],#N/A)</f>
        <v>#N/A</v>
      </c>
      <c r="D32" s="1">
        <f>Table1[[#This Row],[TX Pdc (W)]]</f>
        <v>4.4000000000000004</v>
      </c>
      <c r="E32" s="1">
        <f>IF(ISNUMBER(Table1[[#This Row],[Array Aperture Size (cm2)]]),Table1[[#This Row],[Array Aperture Size (cm2)]],IF(Table1[[#This Row],[Antenna on (None, Chip, AiP, PCB)]]="Chip",Table1[[#This Row],[Chip Core Size - X (mm)]]*Table1[[#This Row],[Chip Core Size -Y (mm)]]/100*Table1[[#This Row],['# of IC per Tile]]*Table1[[#This Row],['# of Array Tile]],#N/A))</f>
        <v>1.0302249999999997</v>
      </c>
      <c r="F32" s="1" t="e">
        <f t="shared" si="0"/>
        <v>#N/A</v>
      </c>
      <c r="G32" s="1" t="e">
        <f t="shared" si="1"/>
        <v>#N/A</v>
      </c>
      <c r="L32" s="1" t="e">
        <f>IF(Table1[[#This Row],[Frequency (GHz)]]&lt;20,Plot_Data_Power!F32,#N/A)</f>
        <v>#N/A</v>
      </c>
      <c r="M32" s="1" t="e">
        <f>IF(AND(Table1[[#This Row],[Frequency (GHz)]]&gt;=20,Table1[[#This Row],[Frequency (GHz)]]&lt;50),Plot_Data_Power!F32,#N/A)</f>
        <v>#N/A</v>
      </c>
      <c r="N32" s="1" t="e">
        <f>IF(AND(Table1[[#This Row],[Frequency (GHz)]]&gt;=50,Table1[[#This Row],[Frequency (GHz)]]&lt;75),Plot_Data_Power!F32,#N/A)</f>
        <v>#N/A</v>
      </c>
      <c r="O32" s="1" t="e">
        <f>IF(AND(Table1[[#This Row],[Frequency (GHz)]]&gt;=75,Table1[[#This Row],[Frequency (GHz)]]&lt;110),Plot_Data_Power!F32,#N/A)</f>
        <v>#N/A</v>
      </c>
      <c r="P32" s="1" t="e">
        <f>IF(AND(Table1[[#This Row],[Frequency (GHz)]]&gt;=110,Table1[[#This Row],[Frequency (GHz)]]&lt;170),Plot_Data_Power!F32,#N/A)</f>
        <v>#N/A</v>
      </c>
      <c r="Q32" s="1" t="e">
        <f>IF(AND(Table1[[#This Row],[Frequency (GHz)]]&gt;=170,Table1[[#This Row],[Frequency (GHz)]]&lt;260),Plot_Data_Power!F32,#N/A)</f>
        <v>#N/A</v>
      </c>
      <c r="R32" s="1" t="e">
        <f>IF(Table1[[#This Row],[Frequency (GHz)]]&gt;=260,Plot_Data_Power!F32,#N/A)</f>
        <v>#N/A</v>
      </c>
      <c r="U32" s="1" t="e">
        <f>IF(Table1[[#This Row],[Frequency (GHz)]]&lt;20,Plot_Data_Power!G32,#N/A)</f>
        <v>#N/A</v>
      </c>
      <c r="V32" s="1" t="e">
        <f>IF(AND(Table1[[#This Row],[Frequency (GHz)]]&gt;=20,Table1[[#This Row],[Frequency (GHz)]]&lt;50),Plot_Data_Power!G32,#N/A)</f>
        <v>#N/A</v>
      </c>
      <c r="W32" s="1" t="e">
        <f>IF(AND(Table1[[#This Row],[Frequency (GHz)]]&gt;=50,Table1[[#This Row],[Frequency (GHz)]]&lt;75),Plot_Data_Power!G32,#N/A)</f>
        <v>#N/A</v>
      </c>
      <c r="X32" s="1" t="e">
        <f>IF(AND(Table1[[#This Row],[Frequency (GHz)]]&gt;=75,Table1[[#This Row],[Frequency (GHz)]]&lt;110),Plot_Data_Power!G32,#N/A)</f>
        <v>#N/A</v>
      </c>
      <c r="Y32" s="1" t="e">
        <f>IF(AND(Table1[[#This Row],[Frequency (GHz)]]&gt;=110,Table1[[#This Row],[Frequency (GHz)]]&lt;170),Plot_Data_Power!G32,#N/A)</f>
        <v>#N/A</v>
      </c>
      <c r="Z32" s="1" t="e">
        <f>IF(AND(Table1[[#This Row],[Frequency (GHz)]]&gt;=170,Table1[[#This Row],[Frequency (GHz)]]&lt;260),Plot_Data_Power!G32,#N/A)</f>
        <v>#N/A</v>
      </c>
      <c r="AA32" s="1" t="e">
        <f>IF(Table1[[#This Row],[Frequency (GHz)]]&gt;=260,Plot_Data_Power!G32,#N/A)</f>
        <v>#N/A</v>
      </c>
      <c r="AD32" s="1">
        <f>IF(ISNUMBER(Table1[[#This Row],[Max Package Thermal Density (W/cm2)]]),Table1[[#This Row],[Max Package Thermal Density (W/cm2)]],#N/A)</f>
        <v>4.2709116940474185</v>
      </c>
      <c r="AE32" s="1" t="e">
        <f>IF(AND(ISNUMBER((Table1[[#This Row],[Max Package Thermal Density (W/cm2)]])),Table1[[#This Row],[Frequency (GHz)]]&lt;20),Table1[[#This Row],[Max Package Thermal Density (W/cm2)]],#N/A)</f>
        <v>#N/A</v>
      </c>
      <c r="AF32" s="1" t="e">
        <f>IF(AND(ISNUMBER(Table1[[#This Row],[Max Package Thermal Density (W/cm2)]]),Table1[[#This Row],[Frequency (GHz)]]&gt;=20,Table1[[#This Row],[Frequency (GHz)]]&lt;50),Table1[[#This Row],[Max Package Thermal Density (W/cm2)]],#N/A)</f>
        <v>#N/A</v>
      </c>
      <c r="AG32" s="1" t="e">
        <f>IF(AND(ISNUMBER(Table1[[#This Row],[Max Package Thermal Density (W/cm2)]]),Table1[[#This Row],[Frequency (GHz)]]&gt;=50,Table1[[#This Row],[Frequency (GHz)]]&lt;75),Table1[[#This Row],[Max Package Thermal Density (W/cm2)]],#N/A)</f>
        <v>#N/A</v>
      </c>
      <c r="AH32" s="1">
        <f>IF(AND(ISNUMBER(Table1[[#This Row],[Max Package Thermal Density (W/cm2)]]),Table1[[#This Row],[Frequency (GHz)]]&gt;=75,Table1[[#This Row],[Frequency (GHz)]]&lt;110),Table1[[#This Row],[Max Package Thermal Density (W/cm2)]],#N/A)</f>
        <v>4.2709116940474185</v>
      </c>
      <c r="AI32" s="1" t="e">
        <f>IF(AND(ISNUMBER(Table1[[#This Row],[Max Package Thermal Density (W/cm2)]]),Table1[[#This Row],[Frequency (GHz)]]&gt;=110,Table1[[#This Row],[Frequency (GHz)]]&lt;170),Table1[[#This Row],[Max Package Thermal Density (W/cm2)]],#N/A)</f>
        <v>#N/A</v>
      </c>
      <c r="AJ32" s="1" t="e">
        <f>IF(AND(ISNUMBER(Table1[[#This Row],[Max Package Thermal Density (W/cm2)]]),Table1[[#This Row],[Frequency (GHz)]]&gt;=170,Table1[[#This Row],[Frequency (GHz)]]&lt;260),Table1[[#This Row],[Max Package Thermal Density (W/cm2)]],#N/A)</f>
        <v>#N/A</v>
      </c>
      <c r="AK32" s="1" t="e">
        <f>IF(AND(ISNUMBER(Table1[[#This Row],[Max Package Thermal Density (W/cm2)]]),Table1[[#This Row],[Frequency (GHz)]]&gt;=260),Table1[[#This Row],[Max Package Thermal Density (W/cm2)]],#N/A)</f>
        <v>#N/A</v>
      </c>
      <c r="AN32" s="1">
        <f>IF(ISNUMBER(Table1[[#This Row],[Max Chip Thermal Density (W/cm2)]]),Table1[[#This Row],[Max Chip Thermal Density (W/cm2)]],#N/A)</f>
        <v>12.5</v>
      </c>
      <c r="AO32" s="1" t="e">
        <f>IF(AND(ISNUMBER((Table1[[#This Row],[Max Chip Thermal Density (W/cm2)]])),Table1[[#This Row],[Frequency (GHz)]]&lt;20),Table1[[#This Row],[Max Chip Thermal Density (W/cm2)]],#N/A)</f>
        <v>#N/A</v>
      </c>
      <c r="AP32" s="1" t="e">
        <f>IF(AND(ISNUMBER(Table1[[#This Row],[Max Chip Thermal Density (W/cm2)]]),Table1[[#This Row],[Frequency (GHz)]]&gt;=20,Table1[[#This Row],[Frequency (GHz)]]&lt;50),Table1[[#This Row],[Max Chip Thermal Density (W/cm2)]],#N/A)</f>
        <v>#N/A</v>
      </c>
      <c r="AQ32" s="1" t="e">
        <f>IF(AND(ISNUMBER(Table1[[#This Row],[Max Chip Thermal Density (W/cm2)]]),Table1[[#This Row],[Frequency (GHz)]]&gt;=50,Table1[[#This Row],[Frequency (GHz)]]&lt;75),Table1[[#This Row],[Max Chip Thermal Density (W/cm2)]],#N/A)</f>
        <v>#N/A</v>
      </c>
      <c r="AR32" s="1">
        <f>IF(AND(ISNUMBER(Table1[[#This Row],[Max Chip Thermal Density (W/cm2)]]),Table1[[#This Row],[Frequency (GHz)]]&gt;=75,Table1[[#This Row],[Frequency (GHz)]]&lt;110),Table1[[#This Row],[Max Chip Thermal Density (W/cm2)]],#N/A)</f>
        <v>12.5</v>
      </c>
      <c r="AS32" s="1" t="e">
        <f>IF(AND(ISNUMBER(Table1[[#This Row],[Max Chip Thermal Density (W/cm2)]]),Table1[[#This Row],[Frequency (GHz)]]&gt;=110,Table1[[#This Row],[Frequency (GHz)]]&lt;170),Table1[[#This Row],[Max Chip Thermal Density (W/cm2)]],#N/A)</f>
        <v>#N/A</v>
      </c>
      <c r="AT32" s="1" t="e">
        <f>IF(AND(ISNUMBER(Table1[[#This Row],[Max Chip Thermal Density (W/cm2)]]),Table1[[#This Row],[Frequency (GHz)]]&gt;=170,Table1[[#This Row],[Frequency (GHz)]]&lt;260),Table1[[#This Row],[Max Chip Thermal Density (W/cm2)]],#N/A)</f>
        <v>#N/A</v>
      </c>
      <c r="AU32" s="1" t="e">
        <f>IF(AND(ISNUMBER(Table1[[#This Row],[Max Chip Thermal Density (W/cm2)]]),Table1[[#This Row],[Frequency (GHz)]]&gt;=260),Table1[[#This Row],[Max Chip Thermal Density (W/cm2)]],#N/A)</f>
        <v>#N/A</v>
      </c>
    </row>
    <row r="33" spans="1:47" x14ac:dyDescent="0.2">
      <c r="A33" s="25">
        <f>IF(ISNUMBER(Table1[[#This Row],[Total Pout/Prad (dBm)]]),Table1[[#This Row],[Total Pout/Prad (dBm)]],#N/A)</f>
        <v>20.04119982655925</v>
      </c>
      <c r="B33" s="1">
        <f>IF(ISNUMBER(Table1[[#This Row],[Total Pout/Prad (dBm)]]),Table1[[#This Row],[Total '# of TX Elements]],#N/A)</f>
        <v>16</v>
      </c>
      <c r="C33" s="1" t="e">
        <f>IF(ISNUMBER(Table1[[#This Row],[TX EIRP (dBm)]]),Table1[[#This Row],[TX EIRP (dBm)]],#N/A)</f>
        <v>#N/A</v>
      </c>
      <c r="D33" s="1">
        <f>Table1[[#This Row],[TX Pdc (W)]]</f>
        <v>4.4000000000000004</v>
      </c>
      <c r="E33" s="1">
        <f>IF(ISNUMBER(Table1[[#This Row],[Array Aperture Size (cm2)]]),Table1[[#This Row],[Array Aperture Size (cm2)]],IF(Table1[[#This Row],[Antenna on (None, Chip, AiP, PCB)]]="Chip",Table1[[#This Row],[Chip Core Size - X (mm)]]*Table1[[#This Row],[Chip Core Size -Y (mm)]]/100*Table1[[#This Row],['# of IC per Tile]]*Table1[[#This Row],['# of Array Tile]],#N/A))</f>
        <v>1.0302249999999997</v>
      </c>
      <c r="F33" s="1">
        <f t="shared" si="0"/>
        <v>2.2943903435643405</v>
      </c>
      <c r="G33" s="1" t="e">
        <f t="shared" si="1"/>
        <v>#N/A</v>
      </c>
      <c r="L33" s="1" t="e">
        <f>IF(Table1[[#This Row],[Frequency (GHz)]]&lt;20,Plot_Data_Power!F33,#N/A)</f>
        <v>#N/A</v>
      </c>
      <c r="M33" s="1" t="e">
        <f>IF(AND(Table1[[#This Row],[Frequency (GHz)]]&gt;=20,Table1[[#This Row],[Frequency (GHz)]]&lt;50),Plot_Data_Power!F33,#N/A)</f>
        <v>#N/A</v>
      </c>
      <c r="N33" s="1" t="e">
        <f>IF(AND(Table1[[#This Row],[Frequency (GHz)]]&gt;=50,Table1[[#This Row],[Frequency (GHz)]]&lt;75),Plot_Data_Power!F33,#N/A)</f>
        <v>#N/A</v>
      </c>
      <c r="O33" s="1">
        <f>IF(AND(Table1[[#This Row],[Frequency (GHz)]]&gt;=75,Table1[[#This Row],[Frequency (GHz)]]&lt;110),Plot_Data_Power!F33,#N/A)</f>
        <v>2.2943903435643405</v>
      </c>
      <c r="P33" s="1" t="e">
        <f>IF(AND(Table1[[#This Row],[Frequency (GHz)]]&gt;=110,Table1[[#This Row],[Frequency (GHz)]]&lt;170),Plot_Data_Power!F33,#N/A)</f>
        <v>#N/A</v>
      </c>
      <c r="Q33" s="1" t="e">
        <f>IF(AND(Table1[[#This Row],[Frequency (GHz)]]&gt;=170,Table1[[#This Row],[Frequency (GHz)]]&lt;260),Plot_Data_Power!F33,#N/A)</f>
        <v>#N/A</v>
      </c>
      <c r="R33" s="1" t="e">
        <f>IF(Table1[[#This Row],[Frequency (GHz)]]&gt;=260,Plot_Data_Power!F33,#N/A)</f>
        <v>#N/A</v>
      </c>
      <c r="U33" s="1" t="e">
        <f>IF(Table1[[#This Row],[Frequency (GHz)]]&lt;20,Plot_Data_Power!G33,#N/A)</f>
        <v>#N/A</v>
      </c>
      <c r="V33" s="1" t="e">
        <f>IF(AND(Table1[[#This Row],[Frequency (GHz)]]&gt;=20,Table1[[#This Row],[Frequency (GHz)]]&lt;50),Plot_Data_Power!G33,#N/A)</f>
        <v>#N/A</v>
      </c>
      <c r="W33" s="1" t="e">
        <f>IF(AND(Table1[[#This Row],[Frequency (GHz)]]&gt;=50,Table1[[#This Row],[Frequency (GHz)]]&lt;75),Plot_Data_Power!G33,#N/A)</f>
        <v>#N/A</v>
      </c>
      <c r="X33" s="1" t="e">
        <f>IF(AND(Table1[[#This Row],[Frequency (GHz)]]&gt;=75,Table1[[#This Row],[Frequency (GHz)]]&lt;110),Plot_Data_Power!G33,#N/A)</f>
        <v>#N/A</v>
      </c>
      <c r="Y33" s="1" t="e">
        <f>IF(AND(Table1[[#This Row],[Frequency (GHz)]]&gt;=110,Table1[[#This Row],[Frequency (GHz)]]&lt;170),Plot_Data_Power!G33,#N/A)</f>
        <v>#N/A</v>
      </c>
      <c r="Z33" s="1" t="e">
        <f>IF(AND(Table1[[#This Row],[Frequency (GHz)]]&gt;=170,Table1[[#This Row],[Frequency (GHz)]]&lt;260),Plot_Data_Power!G33,#N/A)</f>
        <v>#N/A</v>
      </c>
      <c r="AA33" s="1" t="e">
        <f>IF(Table1[[#This Row],[Frequency (GHz)]]&gt;=260,Plot_Data_Power!G33,#N/A)</f>
        <v>#N/A</v>
      </c>
      <c r="AD33" s="1">
        <f>IF(ISNUMBER(Table1[[#This Row],[Max Package Thermal Density (W/cm2)]]),Table1[[#This Row],[Max Package Thermal Density (W/cm2)]],#N/A)</f>
        <v>4.2709116940474185</v>
      </c>
      <c r="AE33" s="1" t="e">
        <f>IF(AND(ISNUMBER((Table1[[#This Row],[Max Package Thermal Density (W/cm2)]])),Table1[[#This Row],[Frequency (GHz)]]&lt;20),Table1[[#This Row],[Max Package Thermal Density (W/cm2)]],#N/A)</f>
        <v>#N/A</v>
      </c>
      <c r="AF33" s="1" t="e">
        <f>IF(AND(ISNUMBER(Table1[[#This Row],[Max Package Thermal Density (W/cm2)]]),Table1[[#This Row],[Frequency (GHz)]]&gt;=20,Table1[[#This Row],[Frequency (GHz)]]&lt;50),Table1[[#This Row],[Max Package Thermal Density (W/cm2)]],#N/A)</f>
        <v>#N/A</v>
      </c>
      <c r="AG33" s="1" t="e">
        <f>IF(AND(ISNUMBER(Table1[[#This Row],[Max Package Thermal Density (W/cm2)]]),Table1[[#This Row],[Frequency (GHz)]]&gt;=50,Table1[[#This Row],[Frequency (GHz)]]&lt;75),Table1[[#This Row],[Max Package Thermal Density (W/cm2)]],#N/A)</f>
        <v>#N/A</v>
      </c>
      <c r="AH33" s="1">
        <f>IF(AND(ISNUMBER(Table1[[#This Row],[Max Package Thermal Density (W/cm2)]]),Table1[[#This Row],[Frequency (GHz)]]&gt;=75,Table1[[#This Row],[Frequency (GHz)]]&lt;110),Table1[[#This Row],[Max Package Thermal Density (W/cm2)]],#N/A)</f>
        <v>4.2709116940474185</v>
      </c>
      <c r="AI33" s="1" t="e">
        <f>IF(AND(ISNUMBER(Table1[[#This Row],[Max Package Thermal Density (W/cm2)]]),Table1[[#This Row],[Frequency (GHz)]]&gt;=110,Table1[[#This Row],[Frequency (GHz)]]&lt;170),Table1[[#This Row],[Max Package Thermal Density (W/cm2)]],#N/A)</f>
        <v>#N/A</v>
      </c>
      <c r="AJ33" s="1" t="e">
        <f>IF(AND(ISNUMBER(Table1[[#This Row],[Max Package Thermal Density (W/cm2)]]),Table1[[#This Row],[Frequency (GHz)]]&gt;=170,Table1[[#This Row],[Frequency (GHz)]]&lt;260),Table1[[#This Row],[Max Package Thermal Density (W/cm2)]],#N/A)</f>
        <v>#N/A</v>
      </c>
      <c r="AK33" s="1" t="e">
        <f>IF(AND(ISNUMBER(Table1[[#This Row],[Max Package Thermal Density (W/cm2)]]),Table1[[#This Row],[Frequency (GHz)]]&gt;=260),Table1[[#This Row],[Max Package Thermal Density (W/cm2)]],#N/A)</f>
        <v>#N/A</v>
      </c>
      <c r="AN33" s="1">
        <f>IF(ISNUMBER(Table1[[#This Row],[Max Chip Thermal Density (W/cm2)]]),Table1[[#This Row],[Max Chip Thermal Density (W/cm2)]],#N/A)</f>
        <v>12.5</v>
      </c>
      <c r="AO33" s="1" t="e">
        <f>IF(AND(ISNUMBER((Table1[[#This Row],[Max Chip Thermal Density (W/cm2)]])),Table1[[#This Row],[Frequency (GHz)]]&lt;20),Table1[[#This Row],[Max Chip Thermal Density (W/cm2)]],#N/A)</f>
        <v>#N/A</v>
      </c>
      <c r="AP33" s="1" t="e">
        <f>IF(AND(ISNUMBER(Table1[[#This Row],[Max Chip Thermal Density (W/cm2)]]),Table1[[#This Row],[Frequency (GHz)]]&gt;=20,Table1[[#This Row],[Frequency (GHz)]]&lt;50),Table1[[#This Row],[Max Chip Thermal Density (W/cm2)]],#N/A)</f>
        <v>#N/A</v>
      </c>
      <c r="AQ33" s="1" t="e">
        <f>IF(AND(ISNUMBER(Table1[[#This Row],[Max Chip Thermal Density (W/cm2)]]),Table1[[#This Row],[Frequency (GHz)]]&gt;=50,Table1[[#This Row],[Frequency (GHz)]]&lt;75),Table1[[#This Row],[Max Chip Thermal Density (W/cm2)]],#N/A)</f>
        <v>#N/A</v>
      </c>
      <c r="AR33" s="1">
        <f>IF(AND(ISNUMBER(Table1[[#This Row],[Max Chip Thermal Density (W/cm2)]]),Table1[[#This Row],[Frequency (GHz)]]&gt;=75,Table1[[#This Row],[Frequency (GHz)]]&lt;110),Table1[[#This Row],[Max Chip Thermal Density (W/cm2)]],#N/A)</f>
        <v>12.5</v>
      </c>
      <c r="AS33" s="1" t="e">
        <f>IF(AND(ISNUMBER(Table1[[#This Row],[Max Chip Thermal Density (W/cm2)]]),Table1[[#This Row],[Frequency (GHz)]]&gt;=110,Table1[[#This Row],[Frequency (GHz)]]&lt;170),Table1[[#This Row],[Max Chip Thermal Density (W/cm2)]],#N/A)</f>
        <v>#N/A</v>
      </c>
      <c r="AT33" s="1" t="e">
        <f>IF(AND(ISNUMBER(Table1[[#This Row],[Max Chip Thermal Density (W/cm2)]]),Table1[[#This Row],[Frequency (GHz)]]&gt;=170,Table1[[#This Row],[Frequency (GHz)]]&lt;260),Table1[[#This Row],[Max Chip Thermal Density (W/cm2)]],#N/A)</f>
        <v>#N/A</v>
      </c>
      <c r="AU33" s="1" t="e">
        <f>IF(AND(ISNUMBER(Table1[[#This Row],[Max Chip Thermal Density (W/cm2)]]),Table1[[#This Row],[Frequency (GHz)]]&gt;=260),Table1[[#This Row],[Max Chip Thermal Density (W/cm2)]],#N/A)</f>
        <v>#N/A</v>
      </c>
    </row>
    <row r="34" spans="1:47" x14ac:dyDescent="0.2">
      <c r="A34" s="25" t="e">
        <f>IF(ISNUMBER(Table1[[#This Row],[Total Pout/Prad (dBm)]]),Table1[[#This Row],[Total Pout/Prad (dBm)]],#N/A)</f>
        <v>#N/A</v>
      </c>
      <c r="B34" s="1" t="e">
        <f>IF(ISNUMBER(Table1[[#This Row],[Total Pout/Prad (dBm)]]),Table1[[#This Row],[Total '# of TX Elements]],#N/A)</f>
        <v>#N/A</v>
      </c>
      <c r="C34" s="1" t="e">
        <f>IF(ISNUMBER(Table1[[#This Row],[TX EIRP (dBm)]]),Table1[[#This Row],[TX EIRP (dBm)]],#N/A)</f>
        <v>#N/A</v>
      </c>
      <c r="D34" s="1" t="str">
        <f>Table1[[#This Row],[TX Pdc (W)]]</f>
        <v>N/A</v>
      </c>
      <c r="E34" s="1">
        <f>IF(ISNUMBER(Table1[[#This Row],[Array Aperture Size (cm2)]]),Table1[[#This Row],[Array Aperture Size (cm2)]],IF(Table1[[#This Row],[Antenna on (None, Chip, AiP, PCB)]]="Chip",Table1[[#This Row],[Chip Core Size - X (mm)]]*Table1[[#This Row],[Chip Core Size -Y (mm)]]/100*Table1[[#This Row],['# of IC per Tile]]*Table1[[#This Row],['# of Array Tile]],#N/A))</f>
        <v>11.626500000000002</v>
      </c>
      <c r="F34" s="1" t="e">
        <f t="shared" si="0"/>
        <v>#N/A</v>
      </c>
      <c r="G34" s="1" t="e">
        <f t="shared" si="1"/>
        <v>#N/A</v>
      </c>
      <c r="L34" s="1" t="e">
        <f>IF(Table1[[#This Row],[Frequency (GHz)]]&lt;20,Plot_Data_Power!F34,#N/A)</f>
        <v>#N/A</v>
      </c>
      <c r="M34" s="1" t="e">
        <f>IF(AND(Table1[[#This Row],[Frequency (GHz)]]&gt;=20,Table1[[#This Row],[Frequency (GHz)]]&lt;50),Plot_Data_Power!F34,#N/A)</f>
        <v>#N/A</v>
      </c>
      <c r="N34" s="1" t="e">
        <f>IF(AND(Table1[[#This Row],[Frequency (GHz)]]&gt;=50,Table1[[#This Row],[Frequency (GHz)]]&lt;75),Plot_Data_Power!F34,#N/A)</f>
        <v>#N/A</v>
      </c>
      <c r="O34" s="1" t="e">
        <f>IF(AND(Table1[[#This Row],[Frequency (GHz)]]&gt;=75,Table1[[#This Row],[Frequency (GHz)]]&lt;110),Plot_Data_Power!F34,#N/A)</f>
        <v>#N/A</v>
      </c>
      <c r="P34" s="1" t="e">
        <f>IF(AND(Table1[[#This Row],[Frequency (GHz)]]&gt;=110,Table1[[#This Row],[Frequency (GHz)]]&lt;170),Plot_Data_Power!F34,#N/A)</f>
        <v>#N/A</v>
      </c>
      <c r="Q34" s="1" t="e">
        <f>IF(AND(Table1[[#This Row],[Frequency (GHz)]]&gt;=170,Table1[[#This Row],[Frequency (GHz)]]&lt;260),Plot_Data_Power!F34,#N/A)</f>
        <v>#N/A</v>
      </c>
      <c r="R34" s="1" t="e">
        <f>IF(Table1[[#This Row],[Frequency (GHz)]]&gt;=260,Plot_Data_Power!F34,#N/A)</f>
        <v>#N/A</v>
      </c>
      <c r="U34" s="1" t="e">
        <f>IF(Table1[[#This Row],[Frequency (GHz)]]&lt;20,Plot_Data_Power!G34,#N/A)</f>
        <v>#N/A</v>
      </c>
      <c r="V34" s="1" t="e">
        <f>IF(AND(Table1[[#This Row],[Frequency (GHz)]]&gt;=20,Table1[[#This Row],[Frequency (GHz)]]&lt;50),Plot_Data_Power!G34,#N/A)</f>
        <v>#N/A</v>
      </c>
      <c r="W34" s="1" t="e">
        <f>IF(AND(Table1[[#This Row],[Frequency (GHz)]]&gt;=50,Table1[[#This Row],[Frequency (GHz)]]&lt;75),Plot_Data_Power!G34,#N/A)</f>
        <v>#N/A</v>
      </c>
      <c r="X34" s="1" t="e">
        <f>IF(AND(Table1[[#This Row],[Frequency (GHz)]]&gt;=75,Table1[[#This Row],[Frequency (GHz)]]&lt;110),Plot_Data_Power!G34,#N/A)</f>
        <v>#N/A</v>
      </c>
      <c r="Y34" s="1" t="e">
        <f>IF(AND(Table1[[#This Row],[Frequency (GHz)]]&gt;=110,Table1[[#This Row],[Frequency (GHz)]]&lt;170),Plot_Data_Power!G34,#N/A)</f>
        <v>#N/A</v>
      </c>
      <c r="Z34" s="1" t="e">
        <f>IF(AND(Table1[[#This Row],[Frequency (GHz)]]&gt;=170,Table1[[#This Row],[Frequency (GHz)]]&lt;260),Plot_Data_Power!G34,#N/A)</f>
        <v>#N/A</v>
      </c>
      <c r="AA34" s="1" t="e">
        <f>IF(Table1[[#This Row],[Frequency (GHz)]]&gt;=260,Plot_Data_Power!G34,#N/A)</f>
        <v>#N/A</v>
      </c>
      <c r="AD34" s="1" t="e">
        <f>IF(ISNUMBER(Table1[[#This Row],[Max Package Thermal Density (W/cm2)]]),Table1[[#This Row],[Max Package Thermal Density (W/cm2)]],#N/A)</f>
        <v>#N/A</v>
      </c>
      <c r="AE34" s="1" t="e">
        <f>IF(AND(ISNUMBER((Table1[[#This Row],[Max Package Thermal Density (W/cm2)]])),Table1[[#This Row],[Frequency (GHz)]]&lt;20),Table1[[#This Row],[Max Package Thermal Density (W/cm2)]],#N/A)</f>
        <v>#N/A</v>
      </c>
      <c r="AF34" s="1" t="e">
        <f>IF(AND(ISNUMBER(Table1[[#This Row],[Max Package Thermal Density (W/cm2)]]),Table1[[#This Row],[Frequency (GHz)]]&gt;=20,Table1[[#This Row],[Frequency (GHz)]]&lt;50),Table1[[#This Row],[Max Package Thermal Density (W/cm2)]],#N/A)</f>
        <v>#N/A</v>
      </c>
      <c r="AG34" s="1" t="e">
        <f>IF(AND(ISNUMBER(Table1[[#This Row],[Max Package Thermal Density (W/cm2)]]),Table1[[#This Row],[Frequency (GHz)]]&gt;=50,Table1[[#This Row],[Frequency (GHz)]]&lt;75),Table1[[#This Row],[Max Package Thermal Density (W/cm2)]],#N/A)</f>
        <v>#N/A</v>
      </c>
      <c r="AH34" s="1" t="e">
        <f>IF(AND(ISNUMBER(Table1[[#This Row],[Max Package Thermal Density (W/cm2)]]),Table1[[#This Row],[Frequency (GHz)]]&gt;=75,Table1[[#This Row],[Frequency (GHz)]]&lt;110),Table1[[#This Row],[Max Package Thermal Density (W/cm2)]],#N/A)</f>
        <v>#N/A</v>
      </c>
      <c r="AI34" s="1" t="e">
        <f>IF(AND(ISNUMBER(Table1[[#This Row],[Max Package Thermal Density (W/cm2)]]),Table1[[#This Row],[Frequency (GHz)]]&gt;=110,Table1[[#This Row],[Frequency (GHz)]]&lt;170),Table1[[#This Row],[Max Package Thermal Density (W/cm2)]],#N/A)</f>
        <v>#N/A</v>
      </c>
      <c r="AJ34" s="1" t="e">
        <f>IF(AND(ISNUMBER(Table1[[#This Row],[Max Package Thermal Density (W/cm2)]]),Table1[[#This Row],[Frequency (GHz)]]&gt;=170,Table1[[#This Row],[Frequency (GHz)]]&lt;260),Table1[[#This Row],[Max Package Thermal Density (W/cm2)]],#N/A)</f>
        <v>#N/A</v>
      </c>
      <c r="AK34" s="1" t="e">
        <f>IF(AND(ISNUMBER(Table1[[#This Row],[Max Package Thermal Density (W/cm2)]]),Table1[[#This Row],[Frequency (GHz)]]&gt;=260),Table1[[#This Row],[Max Package Thermal Density (W/cm2)]],#N/A)</f>
        <v>#N/A</v>
      </c>
      <c r="AN34" s="1" t="e">
        <f>IF(ISNUMBER(Table1[[#This Row],[Max Chip Thermal Density (W/cm2)]]),Table1[[#This Row],[Max Chip Thermal Density (W/cm2)]],#N/A)</f>
        <v>#N/A</v>
      </c>
      <c r="AO34" s="1" t="e">
        <f>IF(AND(ISNUMBER((Table1[[#This Row],[Max Chip Thermal Density (W/cm2)]])),Table1[[#This Row],[Frequency (GHz)]]&lt;20),Table1[[#This Row],[Max Chip Thermal Density (W/cm2)]],#N/A)</f>
        <v>#N/A</v>
      </c>
      <c r="AP34" s="1" t="e">
        <f>IF(AND(ISNUMBER(Table1[[#This Row],[Max Chip Thermal Density (W/cm2)]]),Table1[[#This Row],[Frequency (GHz)]]&gt;=20,Table1[[#This Row],[Frequency (GHz)]]&lt;50),Table1[[#This Row],[Max Chip Thermal Density (W/cm2)]],#N/A)</f>
        <v>#N/A</v>
      </c>
      <c r="AQ34" s="1" t="e">
        <f>IF(AND(ISNUMBER(Table1[[#This Row],[Max Chip Thermal Density (W/cm2)]]),Table1[[#This Row],[Frequency (GHz)]]&gt;=50,Table1[[#This Row],[Frequency (GHz)]]&lt;75),Table1[[#This Row],[Max Chip Thermal Density (W/cm2)]],#N/A)</f>
        <v>#N/A</v>
      </c>
      <c r="AR34" s="1" t="e">
        <f>IF(AND(ISNUMBER(Table1[[#This Row],[Max Chip Thermal Density (W/cm2)]]),Table1[[#This Row],[Frequency (GHz)]]&gt;=75,Table1[[#This Row],[Frequency (GHz)]]&lt;110),Table1[[#This Row],[Max Chip Thermal Density (W/cm2)]],#N/A)</f>
        <v>#N/A</v>
      </c>
      <c r="AS34" s="1" t="e">
        <f>IF(AND(ISNUMBER(Table1[[#This Row],[Max Chip Thermal Density (W/cm2)]]),Table1[[#This Row],[Frequency (GHz)]]&gt;=110,Table1[[#This Row],[Frequency (GHz)]]&lt;170),Table1[[#This Row],[Max Chip Thermal Density (W/cm2)]],#N/A)</f>
        <v>#N/A</v>
      </c>
      <c r="AT34" s="1" t="e">
        <f>IF(AND(ISNUMBER(Table1[[#This Row],[Max Chip Thermal Density (W/cm2)]]),Table1[[#This Row],[Frequency (GHz)]]&gt;=170,Table1[[#This Row],[Frequency (GHz)]]&lt;260),Table1[[#This Row],[Max Chip Thermal Density (W/cm2)]],#N/A)</f>
        <v>#N/A</v>
      </c>
      <c r="AU34" s="1" t="e">
        <f>IF(AND(ISNUMBER(Table1[[#This Row],[Max Chip Thermal Density (W/cm2)]]),Table1[[#This Row],[Frequency (GHz)]]&gt;=260),Table1[[#This Row],[Max Chip Thermal Density (W/cm2)]],#N/A)</f>
        <v>#N/A</v>
      </c>
    </row>
    <row r="35" spans="1:47" x14ac:dyDescent="0.2">
      <c r="A35" s="25">
        <f>IF(ISNUMBER(Table1[[#This Row],[Total Pout/Prad (dBm)]]),Table1[[#This Row],[Total Pout/Prad (dBm)]],#N/A)</f>
        <v>30.061799739838872</v>
      </c>
      <c r="B35" s="1">
        <f>IF(ISNUMBER(Table1[[#This Row],[Total Pout/Prad (dBm)]]),Table1[[#This Row],[Total '# of TX Elements]],#N/A)</f>
        <v>64</v>
      </c>
      <c r="C35" s="1">
        <f>IF(ISNUMBER(Table1[[#This Row],[TX EIRP (dBm)]]),Table1[[#This Row],[TX EIRP (dBm)]],#N/A)</f>
        <v>52</v>
      </c>
      <c r="D35" s="1">
        <f>Table1[[#This Row],[TX Pdc (W)]]</f>
        <v>14.08</v>
      </c>
      <c r="E35" s="1">
        <f>IF(ISNUMBER(Table1[[#This Row],[Array Aperture Size (cm2)]]),Table1[[#This Row],[Array Aperture Size (cm2)]],IF(Table1[[#This Row],[Antenna on (None, Chip, AiP, PCB)]]="Chip",Table1[[#This Row],[Chip Core Size - X (mm)]]*Table1[[#This Row],[Chip Core Size -Y (mm)]]/100*Table1[[#This Row],['# of IC per Tile]]*Table1[[#This Row],['# of Array Tile]],#N/A))</f>
        <v>18.431999999999999</v>
      </c>
      <c r="F35" s="1">
        <f t="shared" si="0"/>
        <v>7.2040599657323385</v>
      </c>
      <c r="G35" s="1">
        <f t="shared" si="1"/>
        <v>1125.6343696456793</v>
      </c>
      <c r="L35" s="1" t="e">
        <f>IF(Table1[[#This Row],[Frequency (GHz)]]&lt;20,Plot_Data_Power!F35,#N/A)</f>
        <v>#N/A</v>
      </c>
      <c r="M35" s="1">
        <f>IF(AND(Table1[[#This Row],[Frequency (GHz)]]&gt;=20,Table1[[#This Row],[Frequency (GHz)]]&lt;50),Plot_Data_Power!F35,#N/A)</f>
        <v>7.2040599657323385</v>
      </c>
      <c r="N35" s="1" t="e">
        <f>IF(AND(Table1[[#This Row],[Frequency (GHz)]]&gt;=50,Table1[[#This Row],[Frequency (GHz)]]&lt;75),Plot_Data_Power!F35,#N/A)</f>
        <v>#N/A</v>
      </c>
      <c r="O35" s="1" t="e">
        <f>IF(AND(Table1[[#This Row],[Frequency (GHz)]]&gt;=75,Table1[[#This Row],[Frequency (GHz)]]&lt;110),Plot_Data_Power!F35,#N/A)</f>
        <v>#N/A</v>
      </c>
      <c r="P35" s="1" t="e">
        <f>IF(AND(Table1[[#This Row],[Frequency (GHz)]]&gt;=110,Table1[[#This Row],[Frequency (GHz)]]&lt;170),Plot_Data_Power!F35,#N/A)</f>
        <v>#N/A</v>
      </c>
      <c r="Q35" s="1" t="e">
        <f>IF(AND(Table1[[#This Row],[Frequency (GHz)]]&gt;=170,Table1[[#This Row],[Frequency (GHz)]]&lt;260),Plot_Data_Power!F35,#N/A)</f>
        <v>#N/A</v>
      </c>
      <c r="R35" s="1" t="e">
        <f>IF(Table1[[#This Row],[Frequency (GHz)]]&gt;=260,Plot_Data_Power!F35,#N/A)</f>
        <v>#N/A</v>
      </c>
      <c r="U35" s="1" t="e">
        <f>IF(Table1[[#This Row],[Frequency (GHz)]]&lt;20,Plot_Data_Power!G35,#N/A)</f>
        <v>#N/A</v>
      </c>
      <c r="V35" s="1">
        <f>IF(AND(Table1[[#This Row],[Frequency (GHz)]]&gt;=20,Table1[[#This Row],[Frequency (GHz)]]&lt;50),Plot_Data_Power!G35,#N/A)</f>
        <v>1125.6343696456793</v>
      </c>
      <c r="W35" s="1" t="e">
        <f>IF(AND(Table1[[#This Row],[Frequency (GHz)]]&gt;=50,Table1[[#This Row],[Frequency (GHz)]]&lt;75),Plot_Data_Power!G35,#N/A)</f>
        <v>#N/A</v>
      </c>
      <c r="X35" s="1" t="e">
        <f>IF(AND(Table1[[#This Row],[Frequency (GHz)]]&gt;=75,Table1[[#This Row],[Frequency (GHz)]]&lt;110),Plot_Data_Power!G35,#N/A)</f>
        <v>#N/A</v>
      </c>
      <c r="Y35" s="1" t="e">
        <f>IF(AND(Table1[[#This Row],[Frequency (GHz)]]&gt;=110,Table1[[#This Row],[Frequency (GHz)]]&lt;170),Plot_Data_Power!G35,#N/A)</f>
        <v>#N/A</v>
      </c>
      <c r="Z35" s="1" t="e">
        <f>IF(AND(Table1[[#This Row],[Frequency (GHz)]]&gt;=170,Table1[[#This Row],[Frequency (GHz)]]&lt;260),Plot_Data_Power!G35,#N/A)</f>
        <v>#N/A</v>
      </c>
      <c r="AA35" s="1" t="e">
        <f>IF(Table1[[#This Row],[Frequency (GHz)]]&gt;=260,Plot_Data_Power!G35,#N/A)</f>
        <v>#N/A</v>
      </c>
      <c r="AD35" s="1">
        <f>IF(ISNUMBER(Table1[[#This Row],[Max Package Thermal Density (W/cm2)]]),Table1[[#This Row],[Max Package Thermal Density (W/cm2)]],#N/A)</f>
        <v>0.76388888888888895</v>
      </c>
      <c r="AE35" s="1" t="e">
        <f>IF(AND(ISNUMBER((Table1[[#This Row],[Max Package Thermal Density (W/cm2)]])),Table1[[#This Row],[Frequency (GHz)]]&lt;20),Table1[[#This Row],[Max Package Thermal Density (W/cm2)]],#N/A)</f>
        <v>#N/A</v>
      </c>
      <c r="AF35" s="1">
        <f>IF(AND(ISNUMBER(Table1[[#This Row],[Max Package Thermal Density (W/cm2)]]),Table1[[#This Row],[Frequency (GHz)]]&gt;=20,Table1[[#This Row],[Frequency (GHz)]]&lt;50),Table1[[#This Row],[Max Package Thermal Density (W/cm2)]],#N/A)</f>
        <v>0.76388888888888895</v>
      </c>
      <c r="AG35" s="1" t="e">
        <f>IF(AND(ISNUMBER(Table1[[#This Row],[Max Package Thermal Density (W/cm2)]]),Table1[[#This Row],[Frequency (GHz)]]&gt;=50,Table1[[#This Row],[Frequency (GHz)]]&lt;75),Table1[[#This Row],[Max Package Thermal Density (W/cm2)]],#N/A)</f>
        <v>#N/A</v>
      </c>
      <c r="AH35" s="1" t="e">
        <f>IF(AND(ISNUMBER(Table1[[#This Row],[Max Package Thermal Density (W/cm2)]]),Table1[[#This Row],[Frequency (GHz)]]&gt;=75,Table1[[#This Row],[Frequency (GHz)]]&lt;110),Table1[[#This Row],[Max Package Thermal Density (W/cm2)]],#N/A)</f>
        <v>#N/A</v>
      </c>
      <c r="AI35" s="1" t="e">
        <f>IF(AND(ISNUMBER(Table1[[#This Row],[Max Package Thermal Density (W/cm2)]]),Table1[[#This Row],[Frequency (GHz)]]&gt;=110,Table1[[#This Row],[Frequency (GHz)]]&lt;170),Table1[[#This Row],[Max Package Thermal Density (W/cm2)]],#N/A)</f>
        <v>#N/A</v>
      </c>
      <c r="AJ35" s="1" t="e">
        <f>IF(AND(ISNUMBER(Table1[[#This Row],[Max Package Thermal Density (W/cm2)]]),Table1[[#This Row],[Frequency (GHz)]]&gt;=170,Table1[[#This Row],[Frequency (GHz)]]&lt;260),Table1[[#This Row],[Max Package Thermal Density (W/cm2)]],#N/A)</f>
        <v>#N/A</v>
      </c>
      <c r="AK35" s="1" t="e">
        <f>IF(AND(ISNUMBER(Table1[[#This Row],[Max Package Thermal Density (W/cm2)]]),Table1[[#This Row],[Frequency (GHz)]]&gt;=260),Table1[[#This Row],[Max Package Thermal Density (W/cm2)]],#N/A)</f>
        <v>#N/A</v>
      </c>
      <c r="AN35" s="1">
        <f>IF(ISNUMBER(Table1[[#This Row],[Max Chip Thermal Density (W/cm2)]]),Table1[[#This Row],[Max Chip Thermal Density (W/cm2)]],#N/A)</f>
        <v>7.8014184397163122</v>
      </c>
      <c r="AO35" s="1" t="e">
        <f>IF(AND(ISNUMBER((Table1[[#This Row],[Max Chip Thermal Density (W/cm2)]])),Table1[[#This Row],[Frequency (GHz)]]&lt;20),Table1[[#This Row],[Max Chip Thermal Density (W/cm2)]],#N/A)</f>
        <v>#N/A</v>
      </c>
      <c r="AP35" s="1">
        <f>IF(AND(ISNUMBER(Table1[[#This Row],[Max Chip Thermal Density (W/cm2)]]),Table1[[#This Row],[Frequency (GHz)]]&gt;=20,Table1[[#This Row],[Frequency (GHz)]]&lt;50),Table1[[#This Row],[Max Chip Thermal Density (W/cm2)]],#N/A)</f>
        <v>7.8014184397163122</v>
      </c>
      <c r="AQ35" s="1" t="e">
        <f>IF(AND(ISNUMBER(Table1[[#This Row],[Max Chip Thermal Density (W/cm2)]]),Table1[[#This Row],[Frequency (GHz)]]&gt;=50,Table1[[#This Row],[Frequency (GHz)]]&lt;75),Table1[[#This Row],[Max Chip Thermal Density (W/cm2)]],#N/A)</f>
        <v>#N/A</v>
      </c>
      <c r="AR35" s="1" t="e">
        <f>IF(AND(ISNUMBER(Table1[[#This Row],[Max Chip Thermal Density (W/cm2)]]),Table1[[#This Row],[Frequency (GHz)]]&gt;=75,Table1[[#This Row],[Frequency (GHz)]]&lt;110),Table1[[#This Row],[Max Chip Thermal Density (W/cm2)]],#N/A)</f>
        <v>#N/A</v>
      </c>
      <c r="AS35" s="1" t="e">
        <f>IF(AND(ISNUMBER(Table1[[#This Row],[Max Chip Thermal Density (W/cm2)]]),Table1[[#This Row],[Frequency (GHz)]]&gt;=110,Table1[[#This Row],[Frequency (GHz)]]&lt;170),Table1[[#This Row],[Max Chip Thermal Density (W/cm2)]],#N/A)</f>
        <v>#N/A</v>
      </c>
      <c r="AT35" s="1" t="e">
        <f>IF(AND(ISNUMBER(Table1[[#This Row],[Max Chip Thermal Density (W/cm2)]]),Table1[[#This Row],[Frequency (GHz)]]&gt;=170,Table1[[#This Row],[Frequency (GHz)]]&lt;260),Table1[[#This Row],[Max Chip Thermal Density (W/cm2)]],#N/A)</f>
        <v>#N/A</v>
      </c>
      <c r="AU35" s="1" t="e">
        <f>IF(AND(ISNUMBER(Table1[[#This Row],[Max Chip Thermal Density (W/cm2)]]),Table1[[#This Row],[Frequency (GHz)]]&gt;=260),Table1[[#This Row],[Max Chip Thermal Density (W/cm2)]],#N/A)</f>
        <v>#N/A</v>
      </c>
    </row>
    <row r="36" spans="1:47" x14ac:dyDescent="0.2">
      <c r="A36" s="25">
        <f>IF(ISNUMBER(Table1[[#This Row],[Total Pout/Prad (dBm)]]),Table1[[#This Row],[Total Pout/Prad (dBm)]],#N/A)</f>
        <v>25.861799739838872</v>
      </c>
      <c r="B36" s="1">
        <f>IF(ISNUMBER(Table1[[#This Row],[Total Pout/Prad (dBm)]]),Table1[[#This Row],[Total '# of TX Elements]],#N/A)</f>
        <v>64</v>
      </c>
      <c r="C36" s="1" t="e">
        <f>IF(ISNUMBER(Table1[[#This Row],[TX EIRP (dBm)]]),Table1[[#This Row],[TX EIRP (dBm)]],#N/A)</f>
        <v>#N/A</v>
      </c>
      <c r="D36" s="1">
        <f>Table1[[#This Row],[TX Pdc (W)]]</f>
        <v>12.224</v>
      </c>
      <c r="E36" s="1">
        <f>IF(ISNUMBER(Table1[[#This Row],[Array Aperture Size (cm2)]]),Table1[[#This Row],[Array Aperture Size (cm2)]],IF(Table1[[#This Row],[Antenna on (None, Chip, AiP, PCB)]]="Chip",Table1[[#This Row],[Chip Core Size - X (mm)]]*Table1[[#This Row],[Chip Core Size -Y (mm)]]/100*Table1[[#This Row],['# of IC per Tile]]*Table1[[#This Row],['# of Array Tile]],#N/A))</f>
        <v>2.5600000000000005</v>
      </c>
      <c r="F36" s="1">
        <f t="shared" si="0"/>
        <v>3.1547622307558032</v>
      </c>
      <c r="G36" s="1" t="e">
        <f t="shared" si="1"/>
        <v>#N/A</v>
      </c>
      <c r="L36" s="1" t="e">
        <f>IF(Table1[[#This Row],[Frequency (GHz)]]&lt;20,Plot_Data_Power!F36,#N/A)</f>
        <v>#N/A</v>
      </c>
      <c r="M36" s="1" t="e">
        <f>IF(AND(Table1[[#This Row],[Frequency (GHz)]]&gt;=20,Table1[[#This Row],[Frequency (GHz)]]&lt;50),Plot_Data_Power!F36,#N/A)</f>
        <v>#N/A</v>
      </c>
      <c r="N36" s="1" t="e">
        <f>IF(AND(Table1[[#This Row],[Frequency (GHz)]]&gt;=50,Table1[[#This Row],[Frequency (GHz)]]&lt;75),Plot_Data_Power!F36,#N/A)</f>
        <v>#N/A</v>
      </c>
      <c r="O36" s="1">
        <f>IF(AND(Table1[[#This Row],[Frequency (GHz)]]&gt;=75,Table1[[#This Row],[Frequency (GHz)]]&lt;110),Plot_Data_Power!F36,#N/A)</f>
        <v>3.1547622307558032</v>
      </c>
      <c r="P36" s="1" t="e">
        <f>IF(AND(Table1[[#This Row],[Frequency (GHz)]]&gt;=110,Table1[[#This Row],[Frequency (GHz)]]&lt;170),Plot_Data_Power!F36,#N/A)</f>
        <v>#N/A</v>
      </c>
      <c r="Q36" s="1" t="e">
        <f>IF(AND(Table1[[#This Row],[Frequency (GHz)]]&gt;=170,Table1[[#This Row],[Frequency (GHz)]]&lt;260),Plot_Data_Power!F36,#N/A)</f>
        <v>#N/A</v>
      </c>
      <c r="R36" s="1" t="e">
        <f>IF(Table1[[#This Row],[Frequency (GHz)]]&gt;=260,Plot_Data_Power!F36,#N/A)</f>
        <v>#N/A</v>
      </c>
      <c r="U36" s="1" t="e">
        <f>IF(Table1[[#This Row],[Frequency (GHz)]]&lt;20,Plot_Data_Power!G36,#N/A)</f>
        <v>#N/A</v>
      </c>
      <c r="V36" s="1" t="e">
        <f>IF(AND(Table1[[#This Row],[Frequency (GHz)]]&gt;=20,Table1[[#This Row],[Frequency (GHz)]]&lt;50),Plot_Data_Power!G36,#N/A)</f>
        <v>#N/A</v>
      </c>
      <c r="W36" s="1" t="e">
        <f>IF(AND(Table1[[#This Row],[Frequency (GHz)]]&gt;=50,Table1[[#This Row],[Frequency (GHz)]]&lt;75),Plot_Data_Power!G36,#N/A)</f>
        <v>#N/A</v>
      </c>
      <c r="X36" s="1" t="e">
        <f>IF(AND(Table1[[#This Row],[Frequency (GHz)]]&gt;=75,Table1[[#This Row],[Frequency (GHz)]]&lt;110),Plot_Data_Power!G36,#N/A)</f>
        <v>#N/A</v>
      </c>
      <c r="Y36" s="1" t="e">
        <f>IF(AND(Table1[[#This Row],[Frequency (GHz)]]&gt;=110,Table1[[#This Row],[Frequency (GHz)]]&lt;170),Plot_Data_Power!G36,#N/A)</f>
        <v>#N/A</v>
      </c>
      <c r="Z36" s="1" t="e">
        <f>IF(AND(Table1[[#This Row],[Frequency (GHz)]]&gt;=170,Table1[[#This Row],[Frequency (GHz)]]&lt;260),Plot_Data_Power!G36,#N/A)</f>
        <v>#N/A</v>
      </c>
      <c r="AA36" s="1" t="e">
        <f>IF(Table1[[#This Row],[Frequency (GHz)]]&gt;=260,Plot_Data_Power!G36,#N/A)</f>
        <v>#N/A</v>
      </c>
      <c r="AD36" s="1">
        <f>IF(ISNUMBER(Table1[[#This Row],[Max Package Thermal Density (W/cm2)]]),Table1[[#This Row],[Max Package Thermal Density (W/cm2)]],#N/A)</f>
        <v>4.7749999999999995</v>
      </c>
      <c r="AE36" s="1" t="e">
        <f>IF(AND(ISNUMBER((Table1[[#This Row],[Max Package Thermal Density (W/cm2)]])),Table1[[#This Row],[Frequency (GHz)]]&lt;20),Table1[[#This Row],[Max Package Thermal Density (W/cm2)]],#N/A)</f>
        <v>#N/A</v>
      </c>
      <c r="AF36" s="1" t="e">
        <f>IF(AND(ISNUMBER(Table1[[#This Row],[Max Package Thermal Density (W/cm2)]]),Table1[[#This Row],[Frequency (GHz)]]&gt;=20,Table1[[#This Row],[Frequency (GHz)]]&lt;50),Table1[[#This Row],[Max Package Thermal Density (W/cm2)]],#N/A)</f>
        <v>#N/A</v>
      </c>
      <c r="AG36" s="1" t="e">
        <f>IF(AND(ISNUMBER(Table1[[#This Row],[Max Package Thermal Density (W/cm2)]]),Table1[[#This Row],[Frequency (GHz)]]&gt;=50,Table1[[#This Row],[Frequency (GHz)]]&lt;75),Table1[[#This Row],[Max Package Thermal Density (W/cm2)]],#N/A)</f>
        <v>#N/A</v>
      </c>
      <c r="AH36" s="1">
        <f>IF(AND(ISNUMBER(Table1[[#This Row],[Max Package Thermal Density (W/cm2)]]),Table1[[#This Row],[Frequency (GHz)]]&gt;=75,Table1[[#This Row],[Frequency (GHz)]]&lt;110),Table1[[#This Row],[Max Package Thermal Density (W/cm2)]],#N/A)</f>
        <v>4.7749999999999995</v>
      </c>
      <c r="AI36" s="1" t="e">
        <f>IF(AND(ISNUMBER(Table1[[#This Row],[Max Package Thermal Density (W/cm2)]]),Table1[[#This Row],[Frequency (GHz)]]&gt;=110,Table1[[#This Row],[Frequency (GHz)]]&lt;170),Table1[[#This Row],[Max Package Thermal Density (W/cm2)]],#N/A)</f>
        <v>#N/A</v>
      </c>
      <c r="AJ36" s="1" t="e">
        <f>IF(AND(ISNUMBER(Table1[[#This Row],[Max Package Thermal Density (W/cm2)]]),Table1[[#This Row],[Frequency (GHz)]]&gt;=170,Table1[[#This Row],[Frequency (GHz)]]&lt;260),Table1[[#This Row],[Max Package Thermal Density (W/cm2)]],#N/A)</f>
        <v>#N/A</v>
      </c>
      <c r="AK36" s="1" t="e">
        <f>IF(AND(ISNUMBER(Table1[[#This Row],[Max Package Thermal Density (W/cm2)]]),Table1[[#This Row],[Frequency (GHz)]]&gt;=260),Table1[[#This Row],[Max Package Thermal Density (W/cm2)]],#N/A)</f>
        <v>#N/A</v>
      </c>
      <c r="AN36" s="1">
        <f>IF(ISNUMBER(Table1[[#This Row],[Max Chip Thermal Density (W/cm2)]]),Table1[[#This Row],[Max Chip Thermal Density (W/cm2)]],#N/A)</f>
        <v>8.1449893390191903</v>
      </c>
      <c r="AO36" s="1" t="e">
        <f>IF(AND(ISNUMBER((Table1[[#This Row],[Max Chip Thermal Density (W/cm2)]])),Table1[[#This Row],[Frequency (GHz)]]&lt;20),Table1[[#This Row],[Max Chip Thermal Density (W/cm2)]],#N/A)</f>
        <v>#N/A</v>
      </c>
      <c r="AP36" s="1" t="e">
        <f>IF(AND(ISNUMBER(Table1[[#This Row],[Max Chip Thermal Density (W/cm2)]]),Table1[[#This Row],[Frequency (GHz)]]&gt;=20,Table1[[#This Row],[Frequency (GHz)]]&lt;50),Table1[[#This Row],[Max Chip Thermal Density (W/cm2)]],#N/A)</f>
        <v>#N/A</v>
      </c>
      <c r="AQ36" s="1" t="e">
        <f>IF(AND(ISNUMBER(Table1[[#This Row],[Max Chip Thermal Density (W/cm2)]]),Table1[[#This Row],[Frequency (GHz)]]&gt;=50,Table1[[#This Row],[Frequency (GHz)]]&lt;75),Table1[[#This Row],[Max Chip Thermal Density (W/cm2)]],#N/A)</f>
        <v>#N/A</v>
      </c>
      <c r="AR36" s="1">
        <f>IF(AND(ISNUMBER(Table1[[#This Row],[Max Chip Thermal Density (W/cm2)]]),Table1[[#This Row],[Frequency (GHz)]]&gt;=75,Table1[[#This Row],[Frequency (GHz)]]&lt;110),Table1[[#This Row],[Max Chip Thermal Density (W/cm2)]],#N/A)</f>
        <v>8.1449893390191903</v>
      </c>
      <c r="AS36" s="1" t="e">
        <f>IF(AND(ISNUMBER(Table1[[#This Row],[Max Chip Thermal Density (W/cm2)]]),Table1[[#This Row],[Frequency (GHz)]]&gt;=110,Table1[[#This Row],[Frequency (GHz)]]&lt;170),Table1[[#This Row],[Max Chip Thermal Density (W/cm2)]],#N/A)</f>
        <v>#N/A</v>
      </c>
      <c r="AT36" s="1" t="e">
        <f>IF(AND(ISNUMBER(Table1[[#This Row],[Max Chip Thermal Density (W/cm2)]]),Table1[[#This Row],[Frequency (GHz)]]&gt;=170,Table1[[#This Row],[Frequency (GHz)]]&lt;260),Table1[[#This Row],[Max Chip Thermal Density (W/cm2)]],#N/A)</f>
        <v>#N/A</v>
      </c>
      <c r="AU36" s="1" t="e">
        <f>IF(AND(ISNUMBER(Table1[[#This Row],[Max Chip Thermal Density (W/cm2)]]),Table1[[#This Row],[Frequency (GHz)]]&gt;=260),Table1[[#This Row],[Max Chip Thermal Density (W/cm2)]],#N/A)</f>
        <v>#N/A</v>
      </c>
    </row>
    <row r="37" spans="1:47" x14ac:dyDescent="0.2">
      <c r="A37" s="25" t="e">
        <f>IF(ISNUMBER(Table1[[#This Row],[Total Pout/Prad (dBm)]]),Table1[[#This Row],[Total Pout/Prad (dBm)]],#N/A)</f>
        <v>#N/A</v>
      </c>
      <c r="B37" s="1" t="e">
        <f>IF(ISNUMBER(Table1[[#This Row],[Total Pout/Prad (dBm)]]),Table1[[#This Row],[Total '# of TX Elements]],#N/A)</f>
        <v>#N/A</v>
      </c>
      <c r="C37" s="1" t="e">
        <f>IF(ISNUMBER(Table1[[#This Row],[TX EIRP (dBm)]]),Table1[[#This Row],[TX EIRP (dBm)]],#N/A)</f>
        <v>#N/A</v>
      </c>
      <c r="D37" s="1" t="str">
        <f>Table1[[#This Row],[TX Pdc (W)]]</f>
        <v>N/A</v>
      </c>
      <c r="E37" s="1">
        <f>IF(ISNUMBER(Table1[[#This Row],[Array Aperture Size (cm2)]]),Table1[[#This Row],[Array Aperture Size (cm2)]],IF(Table1[[#This Row],[Antenna on (None, Chip, AiP, PCB)]]="Chip",Table1[[#This Row],[Chip Core Size - X (mm)]]*Table1[[#This Row],[Chip Core Size -Y (mm)]]/100*Table1[[#This Row],['# of IC per Tile]]*Table1[[#This Row],['# of Array Tile]],#N/A))</f>
        <v>2.5600000000000005</v>
      </c>
      <c r="F37" s="1" t="e">
        <f t="shared" si="0"/>
        <v>#N/A</v>
      </c>
      <c r="G37" s="1" t="e">
        <f t="shared" si="1"/>
        <v>#N/A</v>
      </c>
      <c r="L37" s="1" t="e">
        <f>IF(Table1[[#This Row],[Frequency (GHz)]]&lt;20,Plot_Data_Power!F37,#N/A)</f>
        <v>#N/A</v>
      </c>
      <c r="M37" s="1" t="e">
        <f>IF(AND(Table1[[#This Row],[Frequency (GHz)]]&gt;=20,Table1[[#This Row],[Frequency (GHz)]]&lt;50),Plot_Data_Power!F37,#N/A)</f>
        <v>#N/A</v>
      </c>
      <c r="N37" s="1" t="e">
        <f>IF(AND(Table1[[#This Row],[Frequency (GHz)]]&gt;=50,Table1[[#This Row],[Frequency (GHz)]]&lt;75),Plot_Data_Power!F37,#N/A)</f>
        <v>#N/A</v>
      </c>
      <c r="O37" s="1" t="e">
        <f>IF(AND(Table1[[#This Row],[Frequency (GHz)]]&gt;=75,Table1[[#This Row],[Frequency (GHz)]]&lt;110),Plot_Data_Power!F37,#N/A)</f>
        <v>#N/A</v>
      </c>
      <c r="P37" s="1" t="e">
        <f>IF(AND(Table1[[#This Row],[Frequency (GHz)]]&gt;=110,Table1[[#This Row],[Frequency (GHz)]]&lt;170),Plot_Data_Power!F37,#N/A)</f>
        <v>#N/A</v>
      </c>
      <c r="Q37" s="1" t="e">
        <f>IF(AND(Table1[[#This Row],[Frequency (GHz)]]&gt;=170,Table1[[#This Row],[Frequency (GHz)]]&lt;260),Plot_Data_Power!F37,#N/A)</f>
        <v>#N/A</v>
      </c>
      <c r="R37" s="1" t="e">
        <f>IF(Table1[[#This Row],[Frequency (GHz)]]&gt;=260,Plot_Data_Power!F37,#N/A)</f>
        <v>#N/A</v>
      </c>
      <c r="U37" s="1" t="e">
        <f>IF(Table1[[#This Row],[Frequency (GHz)]]&lt;20,Plot_Data_Power!G37,#N/A)</f>
        <v>#N/A</v>
      </c>
      <c r="V37" s="1" t="e">
        <f>IF(AND(Table1[[#This Row],[Frequency (GHz)]]&gt;=20,Table1[[#This Row],[Frequency (GHz)]]&lt;50),Plot_Data_Power!G37,#N/A)</f>
        <v>#N/A</v>
      </c>
      <c r="W37" s="1" t="e">
        <f>IF(AND(Table1[[#This Row],[Frequency (GHz)]]&gt;=50,Table1[[#This Row],[Frequency (GHz)]]&lt;75),Plot_Data_Power!G37,#N/A)</f>
        <v>#N/A</v>
      </c>
      <c r="X37" s="1" t="e">
        <f>IF(AND(Table1[[#This Row],[Frequency (GHz)]]&gt;=75,Table1[[#This Row],[Frequency (GHz)]]&lt;110),Plot_Data_Power!G37,#N/A)</f>
        <v>#N/A</v>
      </c>
      <c r="Y37" s="1" t="e">
        <f>IF(AND(Table1[[#This Row],[Frequency (GHz)]]&gt;=110,Table1[[#This Row],[Frequency (GHz)]]&lt;170),Plot_Data_Power!G37,#N/A)</f>
        <v>#N/A</v>
      </c>
      <c r="Z37" s="1" t="e">
        <f>IF(AND(Table1[[#This Row],[Frequency (GHz)]]&gt;=170,Table1[[#This Row],[Frequency (GHz)]]&lt;260),Plot_Data_Power!G37,#N/A)</f>
        <v>#N/A</v>
      </c>
      <c r="AA37" s="1" t="e">
        <f>IF(Table1[[#This Row],[Frequency (GHz)]]&gt;=260,Plot_Data_Power!G37,#N/A)</f>
        <v>#N/A</v>
      </c>
      <c r="AD37" s="1">
        <f>IF(ISNUMBER(Table1[[#This Row],[Max Package Thermal Density (W/cm2)]]),Table1[[#This Row],[Max Package Thermal Density (W/cm2)]],#N/A)</f>
        <v>3.4999999999999996</v>
      </c>
      <c r="AE37" s="1" t="e">
        <f>IF(AND(ISNUMBER((Table1[[#This Row],[Max Package Thermal Density (W/cm2)]])),Table1[[#This Row],[Frequency (GHz)]]&lt;20),Table1[[#This Row],[Max Package Thermal Density (W/cm2)]],#N/A)</f>
        <v>#N/A</v>
      </c>
      <c r="AF37" s="1" t="e">
        <f>IF(AND(ISNUMBER(Table1[[#This Row],[Max Package Thermal Density (W/cm2)]]),Table1[[#This Row],[Frequency (GHz)]]&gt;=20,Table1[[#This Row],[Frequency (GHz)]]&lt;50),Table1[[#This Row],[Max Package Thermal Density (W/cm2)]],#N/A)</f>
        <v>#N/A</v>
      </c>
      <c r="AG37" s="1" t="e">
        <f>IF(AND(ISNUMBER(Table1[[#This Row],[Max Package Thermal Density (W/cm2)]]),Table1[[#This Row],[Frequency (GHz)]]&gt;=50,Table1[[#This Row],[Frequency (GHz)]]&lt;75),Table1[[#This Row],[Max Package Thermal Density (W/cm2)]],#N/A)</f>
        <v>#N/A</v>
      </c>
      <c r="AH37" s="1">
        <f>IF(AND(ISNUMBER(Table1[[#This Row],[Max Package Thermal Density (W/cm2)]]),Table1[[#This Row],[Frequency (GHz)]]&gt;=75,Table1[[#This Row],[Frequency (GHz)]]&lt;110),Table1[[#This Row],[Max Package Thermal Density (W/cm2)]],#N/A)</f>
        <v>3.4999999999999996</v>
      </c>
      <c r="AI37" s="1" t="e">
        <f>IF(AND(ISNUMBER(Table1[[#This Row],[Max Package Thermal Density (W/cm2)]]),Table1[[#This Row],[Frequency (GHz)]]&gt;=110,Table1[[#This Row],[Frequency (GHz)]]&lt;170),Table1[[#This Row],[Max Package Thermal Density (W/cm2)]],#N/A)</f>
        <v>#N/A</v>
      </c>
      <c r="AJ37" s="1" t="e">
        <f>IF(AND(ISNUMBER(Table1[[#This Row],[Max Package Thermal Density (W/cm2)]]),Table1[[#This Row],[Frequency (GHz)]]&gt;=170,Table1[[#This Row],[Frequency (GHz)]]&lt;260),Table1[[#This Row],[Max Package Thermal Density (W/cm2)]],#N/A)</f>
        <v>#N/A</v>
      </c>
      <c r="AK37" s="1" t="e">
        <f>IF(AND(ISNUMBER(Table1[[#This Row],[Max Package Thermal Density (W/cm2)]]),Table1[[#This Row],[Frequency (GHz)]]&gt;=260),Table1[[#This Row],[Max Package Thermal Density (W/cm2)]],#N/A)</f>
        <v>#N/A</v>
      </c>
      <c r="AN37" s="1">
        <f>IF(ISNUMBER(Table1[[#This Row],[Max Chip Thermal Density (W/cm2)]]),Table1[[#This Row],[Max Chip Thermal Density (W/cm2)]],#N/A)</f>
        <v>5.9701492537313445</v>
      </c>
      <c r="AO37" s="1" t="e">
        <f>IF(AND(ISNUMBER((Table1[[#This Row],[Max Chip Thermal Density (W/cm2)]])),Table1[[#This Row],[Frequency (GHz)]]&lt;20),Table1[[#This Row],[Max Chip Thermal Density (W/cm2)]],#N/A)</f>
        <v>#N/A</v>
      </c>
      <c r="AP37" s="1" t="e">
        <f>IF(AND(ISNUMBER(Table1[[#This Row],[Max Chip Thermal Density (W/cm2)]]),Table1[[#This Row],[Frequency (GHz)]]&gt;=20,Table1[[#This Row],[Frequency (GHz)]]&lt;50),Table1[[#This Row],[Max Chip Thermal Density (W/cm2)]],#N/A)</f>
        <v>#N/A</v>
      </c>
      <c r="AQ37" s="1" t="e">
        <f>IF(AND(ISNUMBER(Table1[[#This Row],[Max Chip Thermal Density (W/cm2)]]),Table1[[#This Row],[Frequency (GHz)]]&gt;=50,Table1[[#This Row],[Frequency (GHz)]]&lt;75),Table1[[#This Row],[Max Chip Thermal Density (W/cm2)]],#N/A)</f>
        <v>#N/A</v>
      </c>
      <c r="AR37" s="1">
        <f>IF(AND(ISNUMBER(Table1[[#This Row],[Max Chip Thermal Density (W/cm2)]]),Table1[[#This Row],[Frequency (GHz)]]&gt;=75,Table1[[#This Row],[Frequency (GHz)]]&lt;110),Table1[[#This Row],[Max Chip Thermal Density (W/cm2)]],#N/A)</f>
        <v>5.9701492537313445</v>
      </c>
      <c r="AS37" s="1" t="e">
        <f>IF(AND(ISNUMBER(Table1[[#This Row],[Max Chip Thermal Density (W/cm2)]]),Table1[[#This Row],[Frequency (GHz)]]&gt;=110,Table1[[#This Row],[Frequency (GHz)]]&lt;170),Table1[[#This Row],[Max Chip Thermal Density (W/cm2)]],#N/A)</f>
        <v>#N/A</v>
      </c>
      <c r="AT37" s="1" t="e">
        <f>IF(AND(ISNUMBER(Table1[[#This Row],[Max Chip Thermal Density (W/cm2)]]),Table1[[#This Row],[Frequency (GHz)]]&gt;=170,Table1[[#This Row],[Frequency (GHz)]]&lt;260),Table1[[#This Row],[Max Chip Thermal Density (W/cm2)]],#N/A)</f>
        <v>#N/A</v>
      </c>
      <c r="AU37" s="1" t="e">
        <f>IF(AND(ISNUMBER(Table1[[#This Row],[Max Chip Thermal Density (W/cm2)]]),Table1[[#This Row],[Frequency (GHz)]]&gt;=260),Table1[[#This Row],[Max Chip Thermal Density (W/cm2)]],#N/A)</f>
        <v>#N/A</v>
      </c>
    </row>
    <row r="38" spans="1:47" x14ac:dyDescent="0.2">
      <c r="A38" s="25" t="e">
        <f>IF(ISNUMBER(Table1[[#This Row],[Total Pout/Prad (dBm)]]),Table1[[#This Row],[Total Pout/Prad (dBm)]],#N/A)</f>
        <v>#N/A</v>
      </c>
      <c r="B38" s="1" t="e">
        <f>IF(ISNUMBER(Table1[[#This Row],[Total Pout/Prad (dBm)]]),Table1[[#This Row],[Total '# of TX Elements]],#N/A)</f>
        <v>#N/A</v>
      </c>
      <c r="C38" s="1" t="e">
        <f>IF(ISNUMBER(Table1[[#This Row],[TX EIRP (dBm)]]),Table1[[#This Row],[TX EIRP (dBm)]],#N/A)</f>
        <v>#N/A</v>
      </c>
      <c r="D38" s="1" t="str">
        <f>Table1[[#This Row],[TX Pdc (W)]]</f>
        <v>N/A</v>
      </c>
      <c r="E38" s="1">
        <f>IF(ISNUMBER(Table1[[#This Row],[Array Aperture Size (cm2)]]),Table1[[#This Row],[Array Aperture Size (cm2)]],IF(Table1[[#This Row],[Antenna on (None, Chip, AiP, PCB)]]="Chip",Table1[[#This Row],[Chip Core Size - X (mm)]]*Table1[[#This Row],[Chip Core Size -Y (mm)]]/100*Table1[[#This Row],['# of IC per Tile]]*Table1[[#This Row],['# of Array Tile]],#N/A))</f>
        <v>151.20000000000002</v>
      </c>
      <c r="F38" s="1" t="e">
        <f t="shared" si="0"/>
        <v>#N/A</v>
      </c>
      <c r="G38" s="1" t="e">
        <f t="shared" si="1"/>
        <v>#N/A</v>
      </c>
      <c r="L38" s="1" t="e">
        <f>IF(Table1[[#This Row],[Frequency (GHz)]]&lt;20,Plot_Data_Power!F38,#N/A)</f>
        <v>#N/A</v>
      </c>
      <c r="M38" s="1" t="e">
        <f>IF(AND(Table1[[#This Row],[Frequency (GHz)]]&gt;=20,Table1[[#This Row],[Frequency (GHz)]]&lt;50),Plot_Data_Power!F38,#N/A)</f>
        <v>#N/A</v>
      </c>
      <c r="N38" s="1" t="e">
        <f>IF(AND(Table1[[#This Row],[Frequency (GHz)]]&gt;=50,Table1[[#This Row],[Frequency (GHz)]]&lt;75),Plot_Data_Power!F38,#N/A)</f>
        <v>#N/A</v>
      </c>
      <c r="O38" s="1" t="e">
        <f>IF(AND(Table1[[#This Row],[Frequency (GHz)]]&gt;=75,Table1[[#This Row],[Frequency (GHz)]]&lt;110),Plot_Data_Power!F38,#N/A)</f>
        <v>#N/A</v>
      </c>
      <c r="P38" s="1" t="e">
        <f>IF(AND(Table1[[#This Row],[Frequency (GHz)]]&gt;=110,Table1[[#This Row],[Frequency (GHz)]]&lt;170),Plot_Data_Power!F38,#N/A)</f>
        <v>#N/A</v>
      </c>
      <c r="Q38" s="1" t="e">
        <f>IF(AND(Table1[[#This Row],[Frequency (GHz)]]&gt;=170,Table1[[#This Row],[Frequency (GHz)]]&lt;260),Plot_Data_Power!F38,#N/A)</f>
        <v>#N/A</v>
      </c>
      <c r="R38" s="1" t="e">
        <f>IF(Table1[[#This Row],[Frequency (GHz)]]&gt;=260,Plot_Data_Power!F38,#N/A)</f>
        <v>#N/A</v>
      </c>
      <c r="U38" s="1" t="e">
        <f>IF(Table1[[#This Row],[Frequency (GHz)]]&lt;20,Plot_Data_Power!G38,#N/A)</f>
        <v>#N/A</v>
      </c>
      <c r="V38" s="1" t="e">
        <f>IF(AND(Table1[[#This Row],[Frequency (GHz)]]&gt;=20,Table1[[#This Row],[Frequency (GHz)]]&lt;50),Plot_Data_Power!G38,#N/A)</f>
        <v>#N/A</v>
      </c>
      <c r="W38" s="1" t="e">
        <f>IF(AND(Table1[[#This Row],[Frequency (GHz)]]&gt;=50,Table1[[#This Row],[Frequency (GHz)]]&lt;75),Plot_Data_Power!G38,#N/A)</f>
        <v>#N/A</v>
      </c>
      <c r="X38" s="1" t="e">
        <f>IF(AND(Table1[[#This Row],[Frequency (GHz)]]&gt;=75,Table1[[#This Row],[Frequency (GHz)]]&lt;110),Plot_Data_Power!G38,#N/A)</f>
        <v>#N/A</v>
      </c>
      <c r="Y38" s="1" t="e">
        <f>IF(AND(Table1[[#This Row],[Frequency (GHz)]]&gt;=110,Table1[[#This Row],[Frequency (GHz)]]&lt;170),Plot_Data_Power!G38,#N/A)</f>
        <v>#N/A</v>
      </c>
      <c r="Z38" s="1" t="e">
        <f>IF(AND(Table1[[#This Row],[Frequency (GHz)]]&gt;=170,Table1[[#This Row],[Frequency (GHz)]]&lt;260),Plot_Data_Power!G38,#N/A)</f>
        <v>#N/A</v>
      </c>
      <c r="AA38" s="1" t="e">
        <f>IF(Table1[[#This Row],[Frequency (GHz)]]&gt;=260,Plot_Data_Power!G38,#N/A)</f>
        <v>#N/A</v>
      </c>
      <c r="AD38" s="1" t="e">
        <f>IF(ISNUMBER(Table1[[#This Row],[Max Package Thermal Density (W/cm2)]]),Table1[[#This Row],[Max Package Thermal Density (W/cm2)]],#N/A)</f>
        <v>#N/A</v>
      </c>
      <c r="AE38" s="1" t="e">
        <f>IF(AND(ISNUMBER((Table1[[#This Row],[Max Package Thermal Density (W/cm2)]])),Table1[[#This Row],[Frequency (GHz)]]&lt;20),Table1[[#This Row],[Max Package Thermal Density (W/cm2)]],#N/A)</f>
        <v>#N/A</v>
      </c>
      <c r="AF38" s="1" t="e">
        <f>IF(AND(ISNUMBER(Table1[[#This Row],[Max Package Thermal Density (W/cm2)]]),Table1[[#This Row],[Frequency (GHz)]]&gt;=20,Table1[[#This Row],[Frequency (GHz)]]&lt;50),Table1[[#This Row],[Max Package Thermal Density (W/cm2)]],#N/A)</f>
        <v>#N/A</v>
      </c>
      <c r="AG38" s="1" t="e">
        <f>IF(AND(ISNUMBER(Table1[[#This Row],[Max Package Thermal Density (W/cm2)]]),Table1[[#This Row],[Frequency (GHz)]]&gt;=50,Table1[[#This Row],[Frequency (GHz)]]&lt;75),Table1[[#This Row],[Max Package Thermal Density (W/cm2)]],#N/A)</f>
        <v>#N/A</v>
      </c>
      <c r="AH38" s="1" t="e">
        <f>IF(AND(ISNUMBER(Table1[[#This Row],[Max Package Thermal Density (W/cm2)]]),Table1[[#This Row],[Frequency (GHz)]]&gt;=75,Table1[[#This Row],[Frequency (GHz)]]&lt;110),Table1[[#This Row],[Max Package Thermal Density (W/cm2)]],#N/A)</f>
        <v>#N/A</v>
      </c>
      <c r="AI38" s="1" t="e">
        <f>IF(AND(ISNUMBER(Table1[[#This Row],[Max Package Thermal Density (W/cm2)]]),Table1[[#This Row],[Frequency (GHz)]]&gt;=110,Table1[[#This Row],[Frequency (GHz)]]&lt;170),Table1[[#This Row],[Max Package Thermal Density (W/cm2)]],#N/A)</f>
        <v>#N/A</v>
      </c>
      <c r="AJ38" s="1" t="e">
        <f>IF(AND(ISNUMBER(Table1[[#This Row],[Max Package Thermal Density (W/cm2)]]),Table1[[#This Row],[Frequency (GHz)]]&gt;=170,Table1[[#This Row],[Frequency (GHz)]]&lt;260),Table1[[#This Row],[Max Package Thermal Density (W/cm2)]],#N/A)</f>
        <v>#N/A</v>
      </c>
      <c r="AK38" s="1" t="e">
        <f>IF(AND(ISNUMBER(Table1[[#This Row],[Max Package Thermal Density (W/cm2)]]),Table1[[#This Row],[Frequency (GHz)]]&gt;=260),Table1[[#This Row],[Max Package Thermal Density (W/cm2)]],#N/A)</f>
        <v>#N/A</v>
      </c>
      <c r="AN38" s="1" t="e">
        <f>IF(ISNUMBER(Table1[[#This Row],[Max Chip Thermal Density (W/cm2)]]),Table1[[#This Row],[Max Chip Thermal Density (W/cm2)]],#N/A)</f>
        <v>#N/A</v>
      </c>
      <c r="AO38" s="1" t="e">
        <f>IF(AND(ISNUMBER((Table1[[#This Row],[Max Chip Thermal Density (W/cm2)]])),Table1[[#This Row],[Frequency (GHz)]]&lt;20),Table1[[#This Row],[Max Chip Thermal Density (W/cm2)]],#N/A)</f>
        <v>#N/A</v>
      </c>
      <c r="AP38" s="1" t="e">
        <f>IF(AND(ISNUMBER(Table1[[#This Row],[Max Chip Thermal Density (W/cm2)]]),Table1[[#This Row],[Frequency (GHz)]]&gt;=20,Table1[[#This Row],[Frequency (GHz)]]&lt;50),Table1[[#This Row],[Max Chip Thermal Density (W/cm2)]],#N/A)</f>
        <v>#N/A</v>
      </c>
      <c r="AQ38" s="1" t="e">
        <f>IF(AND(ISNUMBER(Table1[[#This Row],[Max Chip Thermal Density (W/cm2)]]),Table1[[#This Row],[Frequency (GHz)]]&gt;=50,Table1[[#This Row],[Frequency (GHz)]]&lt;75),Table1[[#This Row],[Max Chip Thermal Density (W/cm2)]],#N/A)</f>
        <v>#N/A</v>
      </c>
      <c r="AR38" s="1" t="e">
        <f>IF(AND(ISNUMBER(Table1[[#This Row],[Max Chip Thermal Density (W/cm2)]]),Table1[[#This Row],[Frequency (GHz)]]&gt;=75,Table1[[#This Row],[Frequency (GHz)]]&lt;110),Table1[[#This Row],[Max Chip Thermal Density (W/cm2)]],#N/A)</f>
        <v>#N/A</v>
      </c>
      <c r="AS38" s="1" t="e">
        <f>IF(AND(ISNUMBER(Table1[[#This Row],[Max Chip Thermal Density (W/cm2)]]),Table1[[#This Row],[Frequency (GHz)]]&gt;=110,Table1[[#This Row],[Frequency (GHz)]]&lt;170),Table1[[#This Row],[Max Chip Thermal Density (W/cm2)]],#N/A)</f>
        <v>#N/A</v>
      </c>
      <c r="AT38" s="1" t="e">
        <f>IF(AND(ISNUMBER(Table1[[#This Row],[Max Chip Thermal Density (W/cm2)]]),Table1[[#This Row],[Frequency (GHz)]]&gt;=170,Table1[[#This Row],[Frequency (GHz)]]&lt;260),Table1[[#This Row],[Max Chip Thermal Density (W/cm2)]],#N/A)</f>
        <v>#N/A</v>
      </c>
      <c r="AU38" s="1" t="e">
        <f>IF(AND(ISNUMBER(Table1[[#This Row],[Max Chip Thermal Density (W/cm2)]]),Table1[[#This Row],[Frequency (GHz)]]&gt;=260),Table1[[#This Row],[Max Chip Thermal Density (W/cm2)]],#N/A)</f>
        <v>#N/A</v>
      </c>
    </row>
    <row r="39" spans="1:47" x14ac:dyDescent="0.2">
      <c r="A39" s="25">
        <f>IF(ISNUMBER(Table1[[#This Row],[Total Pout/Prad (dBm)]]),Table1[[#This Row],[Total Pout/Prad (dBm)]],#N/A)</f>
        <v>11.500000000000002</v>
      </c>
      <c r="B39" s="1">
        <f>IF(ISNUMBER(Table1[[#This Row],[Total Pout/Prad (dBm)]]),Table1[[#This Row],[Total '# of TX Elements]],#N/A)</f>
        <v>1</v>
      </c>
      <c r="C39" s="1">
        <f>IF(ISNUMBER(Table1[[#This Row],[TX EIRP (dBm)]]),Table1[[#This Row],[TX EIRP (dBm)]],#N/A)</f>
        <v>11.5</v>
      </c>
      <c r="D39" s="1">
        <f>Table1[[#This Row],[TX Pdc (W)]]</f>
        <v>0.5</v>
      </c>
      <c r="E39" s="1">
        <f>IF(ISNUMBER(Table1[[#This Row],[Array Aperture Size (cm2)]]),Table1[[#This Row],[Array Aperture Size (cm2)]],IF(Table1[[#This Row],[Antenna on (None, Chip, AiP, PCB)]]="Chip",Table1[[#This Row],[Chip Core Size - X (mm)]]*Table1[[#This Row],[Chip Core Size -Y (mm)]]/100*Table1[[#This Row],['# of IC per Tile]]*Table1[[#This Row],['# of Array Tile]],#N/A))</f>
        <v>6.2495999999999989E-2</v>
      </c>
      <c r="F39" s="1">
        <f t="shared" si="0"/>
        <v>2.8250750892455101</v>
      </c>
      <c r="G39" s="1">
        <f t="shared" si="1"/>
        <v>2.8250750892455088</v>
      </c>
      <c r="L39" s="1" t="e">
        <f>IF(Table1[[#This Row],[Frequency (GHz)]]&lt;20,Plot_Data_Power!F39,#N/A)</f>
        <v>#N/A</v>
      </c>
      <c r="M39" s="1" t="e">
        <f>IF(AND(Table1[[#This Row],[Frequency (GHz)]]&gt;=20,Table1[[#This Row],[Frequency (GHz)]]&lt;50),Plot_Data_Power!F39,#N/A)</f>
        <v>#N/A</v>
      </c>
      <c r="N39" s="1" t="e">
        <f>IF(AND(Table1[[#This Row],[Frequency (GHz)]]&gt;=50,Table1[[#This Row],[Frequency (GHz)]]&lt;75),Plot_Data_Power!F39,#N/A)</f>
        <v>#N/A</v>
      </c>
      <c r="O39" s="1" t="e">
        <f>IF(AND(Table1[[#This Row],[Frequency (GHz)]]&gt;=75,Table1[[#This Row],[Frequency (GHz)]]&lt;110),Plot_Data_Power!F39,#N/A)</f>
        <v>#N/A</v>
      </c>
      <c r="P39" s="1">
        <f>IF(AND(Table1[[#This Row],[Frequency (GHz)]]&gt;=110,Table1[[#This Row],[Frequency (GHz)]]&lt;170),Plot_Data_Power!F39,#N/A)</f>
        <v>2.8250750892455101</v>
      </c>
      <c r="Q39" s="1" t="e">
        <f>IF(AND(Table1[[#This Row],[Frequency (GHz)]]&gt;=170,Table1[[#This Row],[Frequency (GHz)]]&lt;260),Plot_Data_Power!F39,#N/A)</f>
        <v>#N/A</v>
      </c>
      <c r="R39" s="1" t="e">
        <f>IF(Table1[[#This Row],[Frequency (GHz)]]&gt;=260,Plot_Data_Power!F39,#N/A)</f>
        <v>#N/A</v>
      </c>
      <c r="U39" s="1" t="e">
        <f>IF(Table1[[#This Row],[Frequency (GHz)]]&lt;20,Plot_Data_Power!G39,#N/A)</f>
        <v>#N/A</v>
      </c>
      <c r="V39" s="1" t="e">
        <f>IF(AND(Table1[[#This Row],[Frequency (GHz)]]&gt;=20,Table1[[#This Row],[Frequency (GHz)]]&lt;50),Plot_Data_Power!G39,#N/A)</f>
        <v>#N/A</v>
      </c>
      <c r="W39" s="1" t="e">
        <f>IF(AND(Table1[[#This Row],[Frequency (GHz)]]&gt;=50,Table1[[#This Row],[Frequency (GHz)]]&lt;75),Plot_Data_Power!G39,#N/A)</f>
        <v>#N/A</v>
      </c>
      <c r="X39" s="1" t="e">
        <f>IF(AND(Table1[[#This Row],[Frequency (GHz)]]&gt;=75,Table1[[#This Row],[Frequency (GHz)]]&lt;110),Plot_Data_Power!G39,#N/A)</f>
        <v>#N/A</v>
      </c>
      <c r="Y39" s="1">
        <f>IF(AND(Table1[[#This Row],[Frequency (GHz)]]&gt;=110,Table1[[#This Row],[Frequency (GHz)]]&lt;170),Plot_Data_Power!G39,#N/A)</f>
        <v>2.8250750892455088</v>
      </c>
      <c r="Z39" s="1" t="e">
        <f>IF(AND(Table1[[#This Row],[Frequency (GHz)]]&gt;=170,Table1[[#This Row],[Frequency (GHz)]]&lt;260),Plot_Data_Power!G39,#N/A)</f>
        <v>#N/A</v>
      </c>
      <c r="AA39" s="1" t="e">
        <f>IF(Table1[[#This Row],[Frequency (GHz)]]&gt;=260,Plot_Data_Power!G39,#N/A)</f>
        <v>#N/A</v>
      </c>
      <c r="AD39" s="1" t="e">
        <f>IF(ISNUMBER(Table1[[#This Row],[Max Package Thermal Density (W/cm2)]]),Table1[[#This Row],[Max Package Thermal Density (W/cm2)]],#N/A)</f>
        <v>#N/A</v>
      </c>
      <c r="AE39" s="1" t="e">
        <f>IF(AND(ISNUMBER((Table1[[#This Row],[Max Package Thermal Density (W/cm2)]])),Table1[[#This Row],[Frequency (GHz)]]&lt;20),Table1[[#This Row],[Max Package Thermal Density (W/cm2)]],#N/A)</f>
        <v>#N/A</v>
      </c>
      <c r="AF39" s="1" t="e">
        <f>IF(AND(ISNUMBER(Table1[[#This Row],[Max Package Thermal Density (W/cm2)]]),Table1[[#This Row],[Frequency (GHz)]]&gt;=20,Table1[[#This Row],[Frequency (GHz)]]&lt;50),Table1[[#This Row],[Max Package Thermal Density (W/cm2)]],#N/A)</f>
        <v>#N/A</v>
      </c>
      <c r="AG39" s="1" t="e">
        <f>IF(AND(ISNUMBER(Table1[[#This Row],[Max Package Thermal Density (W/cm2)]]),Table1[[#This Row],[Frequency (GHz)]]&gt;=50,Table1[[#This Row],[Frequency (GHz)]]&lt;75),Table1[[#This Row],[Max Package Thermal Density (W/cm2)]],#N/A)</f>
        <v>#N/A</v>
      </c>
      <c r="AH39" s="1" t="e">
        <f>IF(AND(ISNUMBER(Table1[[#This Row],[Max Package Thermal Density (W/cm2)]]),Table1[[#This Row],[Frequency (GHz)]]&gt;=75,Table1[[#This Row],[Frequency (GHz)]]&lt;110),Table1[[#This Row],[Max Package Thermal Density (W/cm2)]],#N/A)</f>
        <v>#N/A</v>
      </c>
      <c r="AI39" s="1" t="e">
        <f>IF(AND(ISNUMBER(Table1[[#This Row],[Max Package Thermal Density (W/cm2)]]),Table1[[#This Row],[Frequency (GHz)]]&gt;=110,Table1[[#This Row],[Frequency (GHz)]]&lt;170),Table1[[#This Row],[Max Package Thermal Density (W/cm2)]],#N/A)</f>
        <v>#N/A</v>
      </c>
      <c r="AJ39" s="1" t="e">
        <f>IF(AND(ISNUMBER(Table1[[#This Row],[Max Package Thermal Density (W/cm2)]]),Table1[[#This Row],[Frequency (GHz)]]&gt;=170,Table1[[#This Row],[Frequency (GHz)]]&lt;260),Table1[[#This Row],[Max Package Thermal Density (W/cm2)]],#N/A)</f>
        <v>#N/A</v>
      </c>
      <c r="AK39" s="1" t="e">
        <f>IF(AND(ISNUMBER(Table1[[#This Row],[Max Package Thermal Density (W/cm2)]]),Table1[[#This Row],[Frequency (GHz)]]&gt;=260),Table1[[#This Row],[Max Package Thermal Density (W/cm2)]],#N/A)</f>
        <v>#N/A</v>
      </c>
      <c r="AN39" s="1">
        <f>IF(ISNUMBER(Table1[[#This Row],[Max Chip Thermal Density (W/cm2)]]),Table1[[#This Row],[Max Chip Thermal Density (W/cm2)]],#N/A)</f>
        <v>7.6255547591087245</v>
      </c>
      <c r="AO39" s="1" t="e">
        <f>IF(AND(ISNUMBER((Table1[[#This Row],[Max Chip Thermal Density (W/cm2)]])),Table1[[#This Row],[Frequency (GHz)]]&lt;20),Table1[[#This Row],[Max Chip Thermal Density (W/cm2)]],#N/A)</f>
        <v>#N/A</v>
      </c>
      <c r="AP39" s="1" t="e">
        <f>IF(AND(ISNUMBER(Table1[[#This Row],[Max Chip Thermal Density (W/cm2)]]),Table1[[#This Row],[Frequency (GHz)]]&gt;=20,Table1[[#This Row],[Frequency (GHz)]]&lt;50),Table1[[#This Row],[Max Chip Thermal Density (W/cm2)]],#N/A)</f>
        <v>#N/A</v>
      </c>
      <c r="AQ39" s="1" t="e">
        <f>IF(AND(ISNUMBER(Table1[[#This Row],[Max Chip Thermal Density (W/cm2)]]),Table1[[#This Row],[Frequency (GHz)]]&gt;=50,Table1[[#This Row],[Frequency (GHz)]]&lt;75),Table1[[#This Row],[Max Chip Thermal Density (W/cm2)]],#N/A)</f>
        <v>#N/A</v>
      </c>
      <c r="AR39" s="1" t="e">
        <f>IF(AND(ISNUMBER(Table1[[#This Row],[Max Chip Thermal Density (W/cm2)]]),Table1[[#This Row],[Frequency (GHz)]]&gt;=75,Table1[[#This Row],[Frequency (GHz)]]&lt;110),Table1[[#This Row],[Max Chip Thermal Density (W/cm2)]],#N/A)</f>
        <v>#N/A</v>
      </c>
      <c r="AS39" s="1">
        <f>IF(AND(ISNUMBER(Table1[[#This Row],[Max Chip Thermal Density (W/cm2)]]),Table1[[#This Row],[Frequency (GHz)]]&gt;=110,Table1[[#This Row],[Frequency (GHz)]]&lt;170),Table1[[#This Row],[Max Chip Thermal Density (W/cm2)]],#N/A)</f>
        <v>7.6255547591087245</v>
      </c>
      <c r="AT39" s="1" t="e">
        <f>IF(AND(ISNUMBER(Table1[[#This Row],[Max Chip Thermal Density (W/cm2)]]),Table1[[#This Row],[Frequency (GHz)]]&gt;=170,Table1[[#This Row],[Frequency (GHz)]]&lt;260),Table1[[#This Row],[Max Chip Thermal Density (W/cm2)]],#N/A)</f>
        <v>#N/A</v>
      </c>
      <c r="AU39" s="1" t="e">
        <f>IF(AND(ISNUMBER(Table1[[#This Row],[Max Chip Thermal Density (W/cm2)]]),Table1[[#This Row],[Frequency (GHz)]]&gt;=260),Table1[[#This Row],[Max Chip Thermal Density (W/cm2)]],#N/A)</f>
        <v>#N/A</v>
      </c>
    </row>
    <row r="40" spans="1:47" x14ac:dyDescent="0.2">
      <c r="A40" s="25" t="e">
        <f>IF(ISNUMBER(Table1[[#This Row],[Total Pout/Prad (dBm)]]),Table1[[#This Row],[Total Pout/Prad (dBm)]],#N/A)</f>
        <v>#N/A</v>
      </c>
      <c r="B40" s="1" t="e">
        <f>IF(ISNUMBER(Table1[[#This Row],[Total Pout/Prad (dBm)]]),Table1[[#This Row],[Total '# of TX Elements]],#N/A)</f>
        <v>#N/A</v>
      </c>
      <c r="C40" s="1" t="e">
        <f>IF(ISNUMBER(Table1[[#This Row],[TX EIRP (dBm)]]),Table1[[#This Row],[TX EIRP (dBm)]],#N/A)</f>
        <v>#N/A</v>
      </c>
      <c r="D40" s="1" t="str">
        <f>Table1[[#This Row],[TX Pdc (W)]]</f>
        <v>N/A</v>
      </c>
      <c r="E40"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40" s="1" t="e">
        <f t="shared" si="0"/>
        <v>#N/A</v>
      </c>
      <c r="G40" s="1" t="e">
        <f t="shared" si="1"/>
        <v>#N/A</v>
      </c>
      <c r="L40" s="1" t="e">
        <f>IF(Table1[[#This Row],[Frequency (GHz)]]&lt;20,Plot_Data_Power!F40,#N/A)</f>
        <v>#N/A</v>
      </c>
      <c r="M40" s="1" t="e">
        <f>IF(AND(Table1[[#This Row],[Frequency (GHz)]]&gt;=20,Table1[[#This Row],[Frequency (GHz)]]&lt;50),Plot_Data_Power!F40,#N/A)</f>
        <v>#N/A</v>
      </c>
      <c r="N40" s="1" t="e">
        <f>IF(AND(Table1[[#This Row],[Frequency (GHz)]]&gt;=50,Table1[[#This Row],[Frequency (GHz)]]&lt;75),Plot_Data_Power!F40,#N/A)</f>
        <v>#N/A</v>
      </c>
      <c r="O40" s="1" t="e">
        <f>IF(AND(Table1[[#This Row],[Frequency (GHz)]]&gt;=75,Table1[[#This Row],[Frequency (GHz)]]&lt;110),Plot_Data_Power!F40,#N/A)</f>
        <v>#N/A</v>
      </c>
      <c r="P40" s="1" t="e">
        <f>IF(AND(Table1[[#This Row],[Frequency (GHz)]]&gt;=110,Table1[[#This Row],[Frequency (GHz)]]&lt;170),Plot_Data_Power!F40,#N/A)</f>
        <v>#N/A</v>
      </c>
      <c r="Q40" s="1" t="e">
        <f>IF(AND(Table1[[#This Row],[Frequency (GHz)]]&gt;=170,Table1[[#This Row],[Frequency (GHz)]]&lt;260),Plot_Data_Power!F40,#N/A)</f>
        <v>#N/A</v>
      </c>
      <c r="R40" s="1" t="e">
        <f>IF(Table1[[#This Row],[Frequency (GHz)]]&gt;=260,Plot_Data_Power!F40,#N/A)</f>
        <v>#N/A</v>
      </c>
      <c r="U40" s="1" t="e">
        <f>IF(Table1[[#This Row],[Frequency (GHz)]]&lt;20,Plot_Data_Power!G40,#N/A)</f>
        <v>#N/A</v>
      </c>
      <c r="V40" s="1" t="e">
        <f>IF(AND(Table1[[#This Row],[Frequency (GHz)]]&gt;=20,Table1[[#This Row],[Frequency (GHz)]]&lt;50),Plot_Data_Power!G40,#N/A)</f>
        <v>#N/A</v>
      </c>
      <c r="W40" s="1" t="e">
        <f>IF(AND(Table1[[#This Row],[Frequency (GHz)]]&gt;=50,Table1[[#This Row],[Frequency (GHz)]]&lt;75),Plot_Data_Power!G40,#N/A)</f>
        <v>#N/A</v>
      </c>
      <c r="X40" s="1" t="e">
        <f>IF(AND(Table1[[#This Row],[Frequency (GHz)]]&gt;=75,Table1[[#This Row],[Frequency (GHz)]]&lt;110),Plot_Data_Power!G40,#N/A)</f>
        <v>#N/A</v>
      </c>
      <c r="Y40" s="1" t="e">
        <f>IF(AND(Table1[[#This Row],[Frequency (GHz)]]&gt;=110,Table1[[#This Row],[Frequency (GHz)]]&lt;170),Plot_Data_Power!G40,#N/A)</f>
        <v>#N/A</v>
      </c>
      <c r="Z40" s="1" t="e">
        <f>IF(AND(Table1[[#This Row],[Frequency (GHz)]]&gt;=170,Table1[[#This Row],[Frequency (GHz)]]&lt;260),Plot_Data_Power!G40,#N/A)</f>
        <v>#N/A</v>
      </c>
      <c r="AA40" s="1" t="e">
        <f>IF(Table1[[#This Row],[Frequency (GHz)]]&gt;=260,Plot_Data_Power!G40,#N/A)</f>
        <v>#N/A</v>
      </c>
      <c r="AD40" s="1" t="e">
        <f>IF(ISNUMBER(Table1[[#This Row],[Max Package Thermal Density (W/cm2)]]),Table1[[#This Row],[Max Package Thermal Density (W/cm2)]],#N/A)</f>
        <v>#N/A</v>
      </c>
      <c r="AE40" s="1" t="e">
        <f>IF(AND(ISNUMBER((Table1[[#This Row],[Max Package Thermal Density (W/cm2)]])),Table1[[#This Row],[Frequency (GHz)]]&lt;20),Table1[[#This Row],[Max Package Thermal Density (W/cm2)]],#N/A)</f>
        <v>#N/A</v>
      </c>
      <c r="AF40" s="1" t="e">
        <f>IF(AND(ISNUMBER(Table1[[#This Row],[Max Package Thermal Density (W/cm2)]]),Table1[[#This Row],[Frequency (GHz)]]&gt;=20,Table1[[#This Row],[Frequency (GHz)]]&lt;50),Table1[[#This Row],[Max Package Thermal Density (W/cm2)]],#N/A)</f>
        <v>#N/A</v>
      </c>
      <c r="AG40" s="1" t="e">
        <f>IF(AND(ISNUMBER(Table1[[#This Row],[Max Package Thermal Density (W/cm2)]]),Table1[[#This Row],[Frequency (GHz)]]&gt;=50,Table1[[#This Row],[Frequency (GHz)]]&lt;75),Table1[[#This Row],[Max Package Thermal Density (W/cm2)]],#N/A)</f>
        <v>#N/A</v>
      </c>
      <c r="AH40" s="1" t="e">
        <f>IF(AND(ISNUMBER(Table1[[#This Row],[Max Package Thermal Density (W/cm2)]]),Table1[[#This Row],[Frequency (GHz)]]&gt;=75,Table1[[#This Row],[Frequency (GHz)]]&lt;110),Table1[[#This Row],[Max Package Thermal Density (W/cm2)]],#N/A)</f>
        <v>#N/A</v>
      </c>
      <c r="AI40" s="1" t="e">
        <f>IF(AND(ISNUMBER(Table1[[#This Row],[Max Package Thermal Density (W/cm2)]]),Table1[[#This Row],[Frequency (GHz)]]&gt;=110,Table1[[#This Row],[Frequency (GHz)]]&lt;170),Table1[[#This Row],[Max Package Thermal Density (W/cm2)]],#N/A)</f>
        <v>#N/A</v>
      </c>
      <c r="AJ40" s="1" t="e">
        <f>IF(AND(ISNUMBER(Table1[[#This Row],[Max Package Thermal Density (W/cm2)]]),Table1[[#This Row],[Frequency (GHz)]]&gt;=170,Table1[[#This Row],[Frequency (GHz)]]&lt;260),Table1[[#This Row],[Max Package Thermal Density (W/cm2)]],#N/A)</f>
        <v>#N/A</v>
      </c>
      <c r="AK40" s="1" t="e">
        <f>IF(AND(ISNUMBER(Table1[[#This Row],[Max Package Thermal Density (W/cm2)]]),Table1[[#This Row],[Frequency (GHz)]]&gt;=260),Table1[[#This Row],[Max Package Thermal Density (W/cm2)]],#N/A)</f>
        <v>#N/A</v>
      </c>
      <c r="AN40" s="1">
        <f>IF(ISNUMBER(Table1[[#This Row],[Max Chip Thermal Density (W/cm2)]]),Table1[[#This Row],[Max Chip Thermal Density (W/cm2)]],#N/A)</f>
        <v>1.4529914529914529</v>
      </c>
      <c r="AO40" s="1" t="e">
        <f>IF(AND(ISNUMBER((Table1[[#This Row],[Max Chip Thermal Density (W/cm2)]])),Table1[[#This Row],[Frequency (GHz)]]&lt;20),Table1[[#This Row],[Max Chip Thermal Density (W/cm2)]],#N/A)</f>
        <v>#N/A</v>
      </c>
      <c r="AP40" s="1">
        <f>IF(AND(ISNUMBER(Table1[[#This Row],[Max Chip Thermal Density (W/cm2)]]),Table1[[#This Row],[Frequency (GHz)]]&gt;=20,Table1[[#This Row],[Frequency (GHz)]]&lt;50),Table1[[#This Row],[Max Chip Thermal Density (W/cm2)]],#N/A)</f>
        <v>1.4529914529914529</v>
      </c>
      <c r="AQ40" s="1" t="e">
        <f>IF(AND(ISNUMBER(Table1[[#This Row],[Max Chip Thermal Density (W/cm2)]]),Table1[[#This Row],[Frequency (GHz)]]&gt;=50,Table1[[#This Row],[Frequency (GHz)]]&lt;75),Table1[[#This Row],[Max Chip Thermal Density (W/cm2)]],#N/A)</f>
        <v>#N/A</v>
      </c>
      <c r="AR40" s="1" t="e">
        <f>IF(AND(ISNUMBER(Table1[[#This Row],[Max Chip Thermal Density (W/cm2)]]),Table1[[#This Row],[Frequency (GHz)]]&gt;=75,Table1[[#This Row],[Frequency (GHz)]]&lt;110),Table1[[#This Row],[Max Chip Thermal Density (W/cm2)]],#N/A)</f>
        <v>#N/A</v>
      </c>
      <c r="AS40" s="1" t="e">
        <f>IF(AND(ISNUMBER(Table1[[#This Row],[Max Chip Thermal Density (W/cm2)]]),Table1[[#This Row],[Frequency (GHz)]]&gt;=110,Table1[[#This Row],[Frequency (GHz)]]&lt;170),Table1[[#This Row],[Max Chip Thermal Density (W/cm2)]],#N/A)</f>
        <v>#N/A</v>
      </c>
      <c r="AT40" s="1" t="e">
        <f>IF(AND(ISNUMBER(Table1[[#This Row],[Max Chip Thermal Density (W/cm2)]]),Table1[[#This Row],[Frequency (GHz)]]&gt;=170,Table1[[#This Row],[Frequency (GHz)]]&lt;260),Table1[[#This Row],[Max Chip Thermal Density (W/cm2)]],#N/A)</f>
        <v>#N/A</v>
      </c>
      <c r="AU40" s="1" t="e">
        <f>IF(AND(ISNUMBER(Table1[[#This Row],[Max Chip Thermal Density (W/cm2)]]),Table1[[#This Row],[Frequency (GHz)]]&gt;=260),Table1[[#This Row],[Max Chip Thermal Density (W/cm2)]],#N/A)</f>
        <v>#N/A</v>
      </c>
    </row>
    <row r="41" spans="1:47" x14ac:dyDescent="0.2">
      <c r="A41" s="25" t="e">
        <f>IF(ISNUMBER(Table1[[#This Row],[Total Pout/Prad (dBm)]]),Table1[[#This Row],[Total Pout/Prad (dBm)]],#N/A)</f>
        <v>#N/A</v>
      </c>
      <c r="B41" s="1" t="e">
        <f>IF(ISNUMBER(Table1[[#This Row],[Total Pout/Prad (dBm)]]),Table1[[#This Row],[Total '# of TX Elements]],#N/A)</f>
        <v>#N/A</v>
      </c>
      <c r="C41" s="1" t="e">
        <f>IF(ISNUMBER(Table1[[#This Row],[TX EIRP (dBm)]]),Table1[[#This Row],[TX EIRP (dBm)]],#N/A)</f>
        <v>#N/A</v>
      </c>
      <c r="D41" s="1" t="str">
        <f>Table1[[#This Row],[TX Pdc (W)]]</f>
        <v>N/A</v>
      </c>
      <c r="E41"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41" s="1" t="e">
        <f t="shared" si="0"/>
        <v>#N/A</v>
      </c>
      <c r="G41" s="1" t="e">
        <f t="shared" si="1"/>
        <v>#N/A</v>
      </c>
      <c r="L41" s="1" t="e">
        <f>IF(Table1[[#This Row],[Frequency (GHz)]]&lt;20,Plot_Data_Power!F41,#N/A)</f>
        <v>#N/A</v>
      </c>
      <c r="M41" s="1" t="e">
        <f>IF(AND(Table1[[#This Row],[Frequency (GHz)]]&gt;=20,Table1[[#This Row],[Frequency (GHz)]]&lt;50),Plot_Data_Power!F41,#N/A)</f>
        <v>#N/A</v>
      </c>
      <c r="N41" s="1" t="e">
        <f>IF(AND(Table1[[#This Row],[Frequency (GHz)]]&gt;=50,Table1[[#This Row],[Frequency (GHz)]]&lt;75),Plot_Data_Power!F41,#N/A)</f>
        <v>#N/A</v>
      </c>
      <c r="O41" s="1" t="e">
        <f>IF(AND(Table1[[#This Row],[Frequency (GHz)]]&gt;=75,Table1[[#This Row],[Frequency (GHz)]]&lt;110),Plot_Data_Power!F41,#N/A)</f>
        <v>#N/A</v>
      </c>
      <c r="P41" s="1" t="e">
        <f>IF(AND(Table1[[#This Row],[Frequency (GHz)]]&gt;=110,Table1[[#This Row],[Frequency (GHz)]]&lt;170),Plot_Data_Power!F41,#N/A)</f>
        <v>#N/A</v>
      </c>
      <c r="Q41" s="1" t="e">
        <f>IF(AND(Table1[[#This Row],[Frequency (GHz)]]&gt;=170,Table1[[#This Row],[Frequency (GHz)]]&lt;260),Plot_Data_Power!F41,#N/A)</f>
        <v>#N/A</v>
      </c>
      <c r="R41" s="1" t="e">
        <f>IF(Table1[[#This Row],[Frequency (GHz)]]&gt;=260,Plot_Data_Power!F41,#N/A)</f>
        <v>#N/A</v>
      </c>
      <c r="U41" s="1" t="e">
        <f>IF(Table1[[#This Row],[Frequency (GHz)]]&lt;20,Plot_Data_Power!G41,#N/A)</f>
        <v>#N/A</v>
      </c>
      <c r="V41" s="1" t="e">
        <f>IF(AND(Table1[[#This Row],[Frequency (GHz)]]&gt;=20,Table1[[#This Row],[Frequency (GHz)]]&lt;50),Plot_Data_Power!G41,#N/A)</f>
        <v>#N/A</v>
      </c>
      <c r="W41" s="1" t="e">
        <f>IF(AND(Table1[[#This Row],[Frequency (GHz)]]&gt;=50,Table1[[#This Row],[Frequency (GHz)]]&lt;75),Plot_Data_Power!G41,#N/A)</f>
        <v>#N/A</v>
      </c>
      <c r="X41" s="1" t="e">
        <f>IF(AND(Table1[[#This Row],[Frequency (GHz)]]&gt;=75,Table1[[#This Row],[Frequency (GHz)]]&lt;110),Plot_Data_Power!G41,#N/A)</f>
        <v>#N/A</v>
      </c>
      <c r="Y41" s="1" t="e">
        <f>IF(AND(Table1[[#This Row],[Frequency (GHz)]]&gt;=110,Table1[[#This Row],[Frequency (GHz)]]&lt;170),Plot_Data_Power!G41,#N/A)</f>
        <v>#N/A</v>
      </c>
      <c r="Z41" s="1" t="e">
        <f>IF(AND(Table1[[#This Row],[Frequency (GHz)]]&gt;=170,Table1[[#This Row],[Frequency (GHz)]]&lt;260),Plot_Data_Power!G41,#N/A)</f>
        <v>#N/A</v>
      </c>
      <c r="AA41" s="1" t="e">
        <f>IF(Table1[[#This Row],[Frequency (GHz)]]&gt;=260,Plot_Data_Power!G41,#N/A)</f>
        <v>#N/A</v>
      </c>
      <c r="AD41" s="1" t="e">
        <f>IF(ISNUMBER(Table1[[#This Row],[Max Package Thermal Density (W/cm2)]]),Table1[[#This Row],[Max Package Thermal Density (W/cm2)]],#N/A)</f>
        <v>#N/A</v>
      </c>
      <c r="AE41" s="1" t="e">
        <f>IF(AND(ISNUMBER((Table1[[#This Row],[Max Package Thermal Density (W/cm2)]])),Table1[[#This Row],[Frequency (GHz)]]&lt;20),Table1[[#This Row],[Max Package Thermal Density (W/cm2)]],#N/A)</f>
        <v>#N/A</v>
      </c>
      <c r="AF41" s="1" t="e">
        <f>IF(AND(ISNUMBER(Table1[[#This Row],[Max Package Thermal Density (W/cm2)]]),Table1[[#This Row],[Frequency (GHz)]]&gt;=20,Table1[[#This Row],[Frequency (GHz)]]&lt;50),Table1[[#This Row],[Max Package Thermal Density (W/cm2)]],#N/A)</f>
        <v>#N/A</v>
      </c>
      <c r="AG41" s="1" t="e">
        <f>IF(AND(ISNUMBER(Table1[[#This Row],[Max Package Thermal Density (W/cm2)]]),Table1[[#This Row],[Frequency (GHz)]]&gt;=50,Table1[[#This Row],[Frequency (GHz)]]&lt;75),Table1[[#This Row],[Max Package Thermal Density (W/cm2)]],#N/A)</f>
        <v>#N/A</v>
      </c>
      <c r="AH41" s="1" t="e">
        <f>IF(AND(ISNUMBER(Table1[[#This Row],[Max Package Thermal Density (W/cm2)]]),Table1[[#This Row],[Frequency (GHz)]]&gt;=75,Table1[[#This Row],[Frequency (GHz)]]&lt;110),Table1[[#This Row],[Max Package Thermal Density (W/cm2)]],#N/A)</f>
        <v>#N/A</v>
      </c>
      <c r="AI41" s="1" t="e">
        <f>IF(AND(ISNUMBER(Table1[[#This Row],[Max Package Thermal Density (W/cm2)]]),Table1[[#This Row],[Frequency (GHz)]]&gt;=110,Table1[[#This Row],[Frequency (GHz)]]&lt;170),Table1[[#This Row],[Max Package Thermal Density (W/cm2)]],#N/A)</f>
        <v>#N/A</v>
      </c>
      <c r="AJ41" s="1" t="e">
        <f>IF(AND(ISNUMBER(Table1[[#This Row],[Max Package Thermal Density (W/cm2)]]),Table1[[#This Row],[Frequency (GHz)]]&gt;=170,Table1[[#This Row],[Frequency (GHz)]]&lt;260),Table1[[#This Row],[Max Package Thermal Density (W/cm2)]],#N/A)</f>
        <v>#N/A</v>
      </c>
      <c r="AK41" s="1" t="e">
        <f>IF(AND(ISNUMBER(Table1[[#This Row],[Max Package Thermal Density (W/cm2)]]),Table1[[#This Row],[Frequency (GHz)]]&gt;=260),Table1[[#This Row],[Max Package Thermal Density (W/cm2)]],#N/A)</f>
        <v>#N/A</v>
      </c>
      <c r="AN41" s="1">
        <f>IF(ISNUMBER(Table1[[#This Row],[Max Chip Thermal Density (W/cm2)]]),Table1[[#This Row],[Max Chip Thermal Density (W/cm2)]],#N/A)</f>
        <v>1.4529914529914529</v>
      </c>
      <c r="AO41" s="1" t="e">
        <f>IF(AND(ISNUMBER((Table1[[#This Row],[Max Chip Thermal Density (W/cm2)]])),Table1[[#This Row],[Frequency (GHz)]]&lt;20),Table1[[#This Row],[Max Chip Thermal Density (W/cm2)]],#N/A)</f>
        <v>#N/A</v>
      </c>
      <c r="AP41" s="1">
        <f>IF(AND(ISNUMBER(Table1[[#This Row],[Max Chip Thermal Density (W/cm2)]]),Table1[[#This Row],[Frequency (GHz)]]&gt;=20,Table1[[#This Row],[Frequency (GHz)]]&lt;50),Table1[[#This Row],[Max Chip Thermal Density (W/cm2)]],#N/A)</f>
        <v>1.4529914529914529</v>
      </c>
      <c r="AQ41" s="1" t="e">
        <f>IF(AND(ISNUMBER(Table1[[#This Row],[Max Chip Thermal Density (W/cm2)]]),Table1[[#This Row],[Frequency (GHz)]]&gt;=50,Table1[[#This Row],[Frequency (GHz)]]&lt;75),Table1[[#This Row],[Max Chip Thermal Density (W/cm2)]],#N/A)</f>
        <v>#N/A</v>
      </c>
      <c r="AR41" s="1" t="e">
        <f>IF(AND(ISNUMBER(Table1[[#This Row],[Max Chip Thermal Density (W/cm2)]]),Table1[[#This Row],[Frequency (GHz)]]&gt;=75,Table1[[#This Row],[Frequency (GHz)]]&lt;110),Table1[[#This Row],[Max Chip Thermal Density (W/cm2)]],#N/A)</f>
        <v>#N/A</v>
      </c>
      <c r="AS41" s="1" t="e">
        <f>IF(AND(ISNUMBER(Table1[[#This Row],[Max Chip Thermal Density (W/cm2)]]),Table1[[#This Row],[Frequency (GHz)]]&gt;=110,Table1[[#This Row],[Frequency (GHz)]]&lt;170),Table1[[#This Row],[Max Chip Thermal Density (W/cm2)]],#N/A)</f>
        <v>#N/A</v>
      </c>
      <c r="AT41" s="1" t="e">
        <f>IF(AND(ISNUMBER(Table1[[#This Row],[Max Chip Thermal Density (W/cm2)]]),Table1[[#This Row],[Frequency (GHz)]]&gt;=170,Table1[[#This Row],[Frequency (GHz)]]&lt;260),Table1[[#This Row],[Max Chip Thermal Density (W/cm2)]],#N/A)</f>
        <v>#N/A</v>
      </c>
      <c r="AU41" s="1" t="e">
        <f>IF(AND(ISNUMBER(Table1[[#This Row],[Max Chip Thermal Density (W/cm2)]]),Table1[[#This Row],[Frequency (GHz)]]&gt;=260),Table1[[#This Row],[Max Chip Thermal Density (W/cm2)]],#N/A)</f>
        <v>#N/A</v>
      </c>
    </row>
    <row r="42" spans="1:47" x14ac:dyDescent="0.2">
      <c r="A42" s="25">
        <f>IF(ISNUMBER(Table1[[#This Row],[Total Pout/Prad (dBm)]]),Table1[[#This Row],[Total Pout/Prad (dBm)]],#N/A)</f>
        <v>26.061799739838875</v>
      </c>
      <c r="B42" s="1">
        <f>IF(ISNUMBER(Table1[[#This Row],[Total Pout/Prad (dBm)]]),Table1[[#This Row],[Total '# of TX Elements]],#N/A)</f>
        <v>64</v>
      </c>
      <c r="C42" s="1">
        <f>IF(ISNUMBER(Table1[[#This Row],[TX EIRP (dBm)]]),Table1[[#This Row],[TX EIRP (dBm)]],#N/A)</f>
        <v>44.4</v>
      </c>
      <c r="D42" s="1">
        <f>Table1[[#This Row],[TX Pdc (W)]]</f>
        <v>9.4719999999999995</v>
      </c>
      <c r="E42" s="1">
        <f>IF(ISNUMBER(Table1[[#This Row],[Array Aperture Size (cm2)]]),Table1[[#This Row],[Array Aperture Size (cm2)]],IF(Table1[[#This Row],[Antenna on (None, Chip, AiP, PCB)]]="Chip",Table1[[#This Row],[Chip Core Size - X (mm)]]*Table1[[#This Row],[Chip Core Size -Y (mm)]]/100*Table1[[#This Row],['# of IC per Tile]]*Table1[[#This Row],['# of Array Tile]],#N/A))</f>
        <v>2.4300000000000002</v>
      </c>
      <c r="F42" s="1">
        <f t="shared" si="0"/>
        <v>4.2632253005418503</v>
      </c>
      <c r="G42" s="1">
        <f t="shared" si="1"/>
        <v>290.77583438958692</v>
      </c>
      <c r="L42" s="1" t="e">
        <f>IF(Table1[[#This Row],[Frequency (GHz)]]&lt;20,Plot_Data_Power!F42,#N/A)</f>
        <v>#N/A</v>
      </c>
      <c r="M42" s="1" t="e">
        <f>IF(AND(Table1[[#This Row],[Frequency (GHz)]]&gt;=20,Table1[[#This Row],[Frequency (GHz)]]&lt;50),Plot_Data_Power!F42,#N/A)</f>
        <v>#N/A</v>
      </c>
      <c r="N42" s="1">
        <f>IF(AND(Table1[[#This Row],[Frequency (GHz)]]&gt;=50,Table1[[#This Row],[Frequency (GHz)]]&lt;75),Plot_Data_Power!F42,#N/A)</f>
        <v>4.2632253005418503</v>
      </c>
      <c r="O42" s="1" t="e">
        <f>IF(AND(Table1[[#This Row],[Frequency (GHz)]]&gt;=75,Table1[[#This Row],[Frequency (GHz)]]&lt;110),Plot_Data_Power!F42,#N/A)</f>
        <v>#N/A</v>
      </c>
      <c r="P42" s="1" t="e">
        <f>IF(AND(Table1[[#This Row],[Frequency (GHz)]]&gt;=110,Table1[[#This Row],[Frequency (GHz)]]&lt;170),Plot_Data_Power!F42,#N/A)</f>
        <v>#N/A</v>
      </c>
      <c r="Q42" s="1" t="e">
        <f>IF(AND(Table1[[#This Row],[Frequency (GHz)]]&gt;=170,Table1[[#This Row],[Frequency (GHz)]]&lt;260),Plot_Data_Power!F42,#N/A)</f>
        <v>#N/A</v>
      </c>
      <c r="R42" s="1" t="e">
        <f>IF(Table1[[#This Row],[Frequency (GHz)]]&gt;=260,Plot_Data_Power!F42,#N/A)</f>
        <v>#N/A</v>
      </c>
      <c r="U42" s="1" t="e">
        <f>IF(Table1[[#This Row],[Frequency (GHz)]]&lt;20,Plot_Data_Power!G42,#N/A)</f>
        <v>#N/A</v>
      </c>
      <c r="V42" s="1" t="e">
        <f>IF(AND(Table1[[#This Row],[Frequency (GHz)]]&gt;=20,Table1[[#This Row],[Frequency (GHz)]]&lt;50),Plot_Data_Power!G42,#N/A)</f>
        <v>#N/A</v>
      </c>
      <c r="W42" s="1">
        <f>IF(AND(Table1[[#This Row],[Frequency (GHz)]]&gt;=50,Table1[[#This Row],[Frequency (GHz)]]&lt;75),Plot_Data_Power!G42,#N/A)</f>
        <v>290.77583438958692</v>
      </c>
      <c r="X42" s="1" t="e">
        <f>IF(AND(Table1[[#This Row],[Frequency (GHz)]]&gt;=75,Table1[[#This Row],[Frequency (GHz)]]&lt;110),Plot_Data_Power!G42,#N/A)</f>
        <v>#N/A</v>
      </c>
      <c r="Y42" s="1" t="e">
        <f>IF(AND(Table1[[#This Row],[Frequency (GHz)]]&gt;=110,Table1[[#This Row],[Frequency (GHz)]]&lt;170),Plot_Data_Power!G42,#N/A)</f>
        <v>#N/A</v>
      </c>
      <c r="Z42" s="1" t="e">
        <f>IF(AND(Table1[[#This Row],[Frequency (GHz)]]&gt;=170,Table1[[#This Row],[Frequency (GHz)]]&lt;260),Plot_Data_Power!G42,#N/A)</f>
        <v>#N/A</v>
      </c>
      <c r="AA42" s="1" t="e">
        <f>IF(Table1[[#This Row],[Frequency (GHz)]]&gt;=260,Plot_Data_Power!G42,#N/A)</f>
        <v>#N/A</v>
      </c>
      <c r="AD42" s="1">
        <f>IF(ISNUMBER(Table1[[#This Row],[Max Package Thermal Density (W/cm2)]]),Table1[[#This Row],[Max Package Thermal Density (W/cm2)]],#N/A)</f>
        <v>4.4246913580246909</v>
      </c>
      <c r="AE42" s="1" t="e">
        <f>IF(AND(ISNUMBER((Table1[[#This Row],[Max Package Thermal Density (W/cm2)]])),Table1[[#This Row],[Frequency (GHz)]]&lt;20),Table1[[#This Row],[Max Package Thermal Density (W/cm2)]],#N/A)</f>
        <v>#N/A</v>
      </c>
      <c r="AF42" s="1" t="e">
        <f>IF(AND(ISNUMBER(Table1[[#This Row],[Max Package Thermal Density (W/cm2)]]),Table1[[#This Row],[Frequency (GHz)]]&gt;=20,Table1[[#This Row],[Frequency (GHz)]]&lt;50),Table1[[#This Row],[Max Package Thermal Density (W/cm2)]],#N/A)</f>
        <v>#N/A</v>
      </c>
      <c r="AG42" s="1">
        <f>IF(AND(ISNUMBER(Table1[[#This Row],[Max Package Thermal Density (W/cm2)]]),Table1[[#This Row],[Frequency (GHz)]]&gt;=50,Table1[[#This Row],[Frequency (GHz)]]&lt;75),Table1[[#This Row],[Max Package Thermal Density (W/cm2)]],#N/A)</f>
        <v>4.4246913580246909</v>
      </c>
      <c r="AH42" s="1" t="e">
        <f>IF(AND(ISNUMBER(Table1[[#This Row],[Max Package Thermal Density (W/cm2)]]),Table1[[#This Row],[Frequency (GHz)]]&gt;=75,Table1[[#This Row],[Frequency (GHz)]]&lt;110),Table1[[#This Row],[Max Package Thermal Density (W/cm2)]],#N/A)</f>
        <v>#N/A</v>
      </c>
      <c r="AI42" s="1" t="e">
        <f>IF(AND(ISNUMBER(Table1[[#This Row],[Max Package Thermal Density (W/cm2)]]),Table1[[#This Row],[Frequency (GHz)]]&gt;=110,Table1[[#This Row],[Frequency (GHz)]]&lt;170),Table1[[#This Row],[Max Package Thermal Density (W/cm2)]],#N/A)</f>
        <v>#N/A</v>
      </c>
      <c r="AJ42" s="1" t="e">
        <f>IF(AND(ISNUMBER(Table1[[#This Row],[Max Package Thermal Density (W/cm2)]]),Table1[[#This Row],[Frequency (GHz)]]&gt;=170,Table1[[#This Row],[Frequency (GHz)]]&lt;260),Table1[[#This Row],[Max Package Thermal Density (W/cm2)]],#N/A)</f>
        <v>#N/A</v>
      </c>
      <c r="AK42" s="1" t="e">
        <f>IF(AND(ISNUMBER(Table1[[#This Row],[Max Package Thermal Density (W/cm2)]]),Table1[[#This Row],[Frequency (GHz)]]&gt;=260),Table1[[#This Row],[Max Package Thermal Density (W/cm2)]],#N/A)</f>
        <v>#N/A</v>
      </c>
      <c r="AN42" s="1">
        <f>IF(ISNUMBER(Table1[[#This Row],[Max Chip Thermal Density (W/cm2)]]),Table1[[#This Row],[Max Chip Thermal Density (W/cm2)]],#N/A)</f>
        <v>13.333333333333334</v>
      </c>
      <c r="AO42" s="1" t="e">
        <f>IF(AND(ISNUMBER((Table1[[#This Row],[Max Chip Thermal Density (W/cm2)]])),Table1[[#This Row],[Frequency (GHz)]]&lt;20),Table1[[#This Row],[Max Chip Thermal Density (W/cm2)]],#N/A)</f>
        <v>#N/A</v>
      </c>
      <c r="AP42" s="1" t="e">
        <f>IF(AND(ISNUMBER(Table1[[#This Row],[Max Chip Thermal Density (W/cm2)]]),Table1[[#This Row],[Frequency (GHz)]]&gt;=20,Table1[[#This Row],[Frequency (GHz)]]&lt;50),Table1[[#This Row],[Max Chip Thermal Density (W/cm2)]],#N/A)</f>
        <v>#N/A</v>
      </c>
      <c r="AQ42" s="1">
        <f>IF(AND(ISNUMBER(Table1[[#This Row],[Max Chip Thermal Density (W/cm2)]]),Table1[[#This Row],[Frequency (GHz)]]&gt;=50,Table1[[#This Row],[Frequency (GHz)]]&lt;75),Table1[[#This Row],[Max Chip Thermal Density (W/cm2)]],#N/A)</f>
        <v>13.333333333333334</v>
      </c>
      <c r="AR42" s="1" t="e">
        <f>IF(AND(ISNUMBER(Table1[[#This Row],[Max Chip Thermal Density (W/cm2)]]),Table1[[#This Row],[Frequency (GHz)]]&gt;=75,Table1[[#This Row],[Frequency (GHz)]]&lt;110),Table1[[#This Row],[Max Chip Thermal Density (W/cm2)]],#N/A)</f>
        <v>#N/A</v>
      </c>
      <c r="AS42" s="1" t="e">
        <f>IF(AND(ISNUMBER(Table1[[#This Row],[Max Chip Thermal Density (W/cm2)]]),Table1[[#This Row],[Frequency (GHz)]]&gt;=110,Table1[[#This Row],[Frequency (GHz)]]&lt;170),Table1[[#This Row],[Max Chip Thermal Density (W/cm2)]],#N/A)</f>
        <v>#N/A</v>
      </c>
      <c r="AT42" s="1" t="e">
        <f>IF(AND(ISNUMBER(Table1[[#This Row],[Max Chip Thermal Density (W/cm2)]]),Table1[[#This Row],[Frequency (GHz)]]&gt;=170,Table1[[#This Row],[Frequency (GHz)]]&lt;260),Table1[[#This Row],[Max Chip Thermal Density (W/cm2)]],#N/A)</f>
        <v>#N/A</v>
      </c>
      <c r="AU42" s="1" t="e">
        <f>IF(AND(ISNUMBER(Table1[[#This Row],[Max Chip Thermal Density (W/cm2)]]),Table1[[#This Row],[Frequency (GHz)]]&gt;=260),Table1[[#This Row],[Max Chip Thermal Density (W/cm2)]],#N/A)</f>
        <v>#N/A</v>
      </c>
    </row>
    <row r="43" spans="1:47" x14ac:dyDescent="0.2">
      <c r="A43" s="25">
        <f>IF(ISNUMBER(Table1[[#This Row],[Total Pout/Prad (dBm)]]),Table1[[#This Row],[Total Pout/Prad (dBm)]],#N/A)</f>
        <v>-1.5999999999999996</v>
      </c>
      <c r="B43" s="1">
        <f>IF(ISNUMBER(Table1[[#This Row],[Total Pout/Prad (dBm)]]),Table1[[#This Row],[Total '# of TX Elements]],#N/A)</f>
        <v>1</v>
      </c>
      <c r="C43" s="1" t="e">
        <f>IF(ISNUMBER(Table1[[#This Row],[TX EIRP (dBm)]]),Table1[[#This Row],[TX EIRP (dBm)]],#N/A)</f>
        <v>#N/A</v>
      </c>
      <c r="D43" s="1">
        <f>Table1[[#This Row],[TX Pdc (W)]]</f>
        <v>1.79</v>
      </c>
      <c r="E43"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43" s="1">
        <f t="shared" si="0"/>
        <v>3.8649774911672437E-2</v>
      </c>
      <c r="G43" s="1" t="e">
        <f t="shared" si="1"/>
        <v>#N/A</v>
      </c>
      <c r="L43" s="1" t="e">
        <f>IF(Table1[[#This Row],[Frequency (GHz)]]&lt;20,Plot_Data_Power!F43,#N/A)</f>
        <v>#N/A</v>
      </c>
      <c r="M43" s="1" t="e">
        <f>IF(AND(Table1[[#This Row],[Frequency (GHz)]]&gt;=20,Table1[[#This Row],[Frequency (GHz)]]&lt;50),Plot_Data_Power!F43,#N/A)</f>
        <v>#N/A</v>
      </c>
      <c r="N43" s="1" t="e">
        <f>IF(AND(Table1[[#This Row],[Frequency (GHz)]]&gt;=50,Table1[[#This Row],[Frequency (GHz)]]&lt;75),Plot_Data_Power!F43,#N/A)</f>
        <v>#N/A</v>
      </c>
      <c r="O43" s="1" t="e">
        <f>IF(AND(Table1[[#This Row],[Frequency (GHz)]]&gt;=75,Table1[[#This Row],[Frequency (GHz)]]&lt;110),Plot_Data_Power!F43,#N/A)</f>
        <v>#N/A</v>
      </c>
      <c r="P43" s="1" t="e">
        <f>IF(AND(Table1[[#This Row],[Frequency (GHz)]]&gt;=110,Table1[[#This Row],[Frequency (GHz)]]&lt;170),Plot_Data_Power!F43,#N/A)</f>
        <v>#N/A</v>
      </c>
      <c r="Q43" s="1" t="e">
        <f>IF(AND(Table1[[#This Row],[Frequency (GHz)]]&gt;=170,Table1[[#This Row],[Frequency (GHz)]]&lt;260),Plot_Data_Power!F43,#N/A)</f>
        <v>#N/A</v>
      </c>
      <c r="R43" s="1">
        <f>IF(Table1[[#This Row],[Frequency (GHz)]]&gt;=260,Plot_Data_Power!F43,#N/A)</f>
        <v>3.8649774911672437E-2</v>
      </c>
      <c r="U43" s="1" t="e">
        <f>IF(Table1[[#This Row],[Frequency (GHz)]]&lt;20,Plot_Data_Power!G43,#N/A)</f>
        <v>#N/A</v>
      </c>
      <c r="V43" s="1" t="e">
        <f>IF(AND(Table1[[#This Row],[Frequency (GHz)]]&gt;=20,Table1[[#This Row],[Frequency (GHz)]]&lt;50),Plot_Data_Power!G43,#N/A)</f>
        <v>#N/A</v>
      </c>
      <c r="W43" s="1" t="e">
        <f>IF(AND(Table1[[#This Row],[Frequency (GHz)]]&gt;=50,Table1[[#This Row],[Frequency (GHz)]]&lt;75),Plot_Data_Power!G43,#N/A)</f>
        <v>#N/A</v>
      </c>
      <c r="X43" s="1" t="e">
        <f>IF(AND(Table1[[#This Row],[Frequency (GHz)]]&gt;=75,Table1[[#This Row],[Frequency (GHz)]]&lt;110),Plot_Data_Power!G43,#N/A)</f>
        <v>#N/A</v>
      </c>
      <c r="Y43" s="1" t="e">
        <f>IF(AND(Table1[[#This Row],[Frequency (GHz)]]&gt;=110,Table1[[#This Row],[Frequency (GHz)]]&lt;170),Plot_Data_Power!G43,#N/A)</f>
        <v>#N/A</v>
      </c>
      <c r="Z43" s="1" t="e">
        <f>IF(AND(Table1[[#This Row],[Frequency (GHz)]]&gt;=170,Table1[[#This Row],[Frequency (GHz)]]&lt;260),Plot_Data_Power!G43,#N/A)</f>
        <v>#N/A</v>
      </c>
      <c r="AA43" s="1" t="e">
        <f>IF(Table1[[#This Row],[Frequency (GHz)]]&gt;=260,Plot_Data_Power!G43,#N/A)</f>
        <v>#N/A</v>
      </c>
      <c r="AD43" s="1" t="e">
        <f>IF(ISNUMBER(Table1[[#This Row],[Max Package Thermal Density (W/cm2)]]),Table1[[#This Row],[Max Package Thermal Density (W/cm2)]],#N/A)</f>
        <v>#N/A</v>
      </c>
      <c r="AE43" s="1" t="e">
        <f>IF(AND(ISNUMBER((Table1[[#This Row],[Max Package Thermal Density (W/cm2)]])),Table1[[#This Row],[Frequency (GHz)]]&lt;20),Table1[[#This Row],[Max Package Thermal Density (W/cm2)]],#N/A)</f>
        <v>#N/A</v>
      </c>
      <c r="AF43" s="1" t="e">
        <f>IF(AND(ISNUMBER(Table1[[#This Row],[Max Package Thermal Density (W/cm2)]]),Table1[[#This Row],[Frequency (GHz)]]&gt;=20,Table1[[#This Row],[Frequency (GHz)]]&lt;50),Table1[[#This Row],[Max Package Thermal Density (W/cm2)]],#N/A)</f>
        <v>#N/A</v>
      </c>
      <c r="AG43" s="1" t="e">
        <f>IF(AND(ISNUMBER(Table1[[#This Row],[Max Package Thermal Density (W/cm2)]]),Table1[[#This Row],[Frequency (GHz)]]&gt;=50,Table1[[#This Row],[Frequency (GHz)]]&lt;75),Table1[[#This Row],[Max Package Thermal Density (W/cm2)]],#N/A)</f>
        <v>#N/A</v>
      </c>
      <c r="AH43" s="1" t="e">
        <f>IF(AND(ISNUMBER(Table1[[#This Row],[Max Package Thermal Density (W/cm2)]]),Table1[[#This Row],[Frequency (GHz)]]&gt;=75,Table1[[#This Row],[Frequency (GHz)]]&lt;110),Table1[[#This Row],[Max Package Thermal Density (W/cm2)]],#N/A)</f>
        <v>#N/A</v>
      </c>
      <c r="AI43" s="1" t="e">
        <f>IF(AND(ISNUMBER(Table1[[#This Row],[Max Package Thermal Density (W/cm2)]]),Table1[[#This Row],[Frequency (GHz)]]&gt;=110,Table1[[#This Row],[Frequency (GHz)]]&lt;170),Table1[[#This Row],[Max Package Thermal Density (W/cm2)]],#N/A)</f>
        <v>#N/A</v>
      </c>
      <c r="AJ43" s="1" t="e">
        <f>IF(AND(ISNUMBER(Table1[[#This Row],[Max Package Thermal Density (W/cm2)]]),Table1[[#This Row],[Frequency (GHz)]]&gt;=170,Table1[[#This Row],[Frequency (GHz)]]&lt;260),Table1[[#This Row],[Max Package Thermal Density (W/cm2)]],#N/A)</f>
        <v>#N/A</v>
      </c>
      <c r="AK43" s="1" t="e">
        <f>IF(AND(ISNUMBER(Table1[[#This Row],[Max Package Thermal Density (W/cm2)]]),Table1[[#This Row],[Frequency (GHz)]]&gt;=260),Table1[[#This Row],[Max Package Thermal Density (W/cm2)]],#N/A)</f>
        <v>#N/A</v>
      </c>
      <c r="AN43" s="1">
        <f>IF(ISNUMBER(Table1[[#This Row],[Max Chip Thermal Density (W/cm2)]]),Table1[[#This Row],[Max Chip Thermal Density (W/cm2)]],#N/A)</f>
        <v>16.18627783429411</v>
      </c>
      <c r="AO43" s="1" t="e">
        <f>IF(AND(ISNUMBER((Table1[[#This Row],[Max Chip Thermal Density (W/cm2)]])),Table1[[#This Row],[Frequency (GHz)]]&lt;20),Table1[[#This Row],[Max Chip Thermal Density (W/cm2)]],#N/A)</f>
        <v>#N/A</v>
      </c>
      <c r="AP43" s="1" t="e">
        <f>IF(AND(ISNUMBER(Table1[[#This Row],[Max Chip Thermal Density (W/cm2)]]),Table1[[#This Row],[Frequency (GHz)]]&gt;=20,Table1[[#This Row],[Frequency (GHz)]]&lt;50),Table1[[#This Row],[Max Chip Thermal Density (W/cm2)]],#N/A)</f>
        <v>#N/A</v>
      </c>
      <c r="AQ43" s="1" t="e">
        <f>IF(AND(ISNUMBER(Table1[[#This Row],[Max Chip Thermal Density (W/cm2)]]),Table1[[#This Row],[Frequency (GHz)]]&gt;=50,Table1[[#This Row],[Frequency (GHz)]]&lt;75),Table1[[#This Row],[Max Chip Thermal Density (W/cm2)]],#N/A)</f>
        <v>#N/A</v>
      </c>
      <c r="AR43" s="1" t="e">
        <f>IF(AND(ISNUMBER(Table1[[#This Row],[Max Chip Thermal Density (W/cm2)]]),Table1[[#This Row],[Frequency (GHz)]]&gt;=75,Table1[[#This Row],[Frequency (GHz)]]&lt;110),Table1[[#This Row],[Max Chip Thermal Density (W/cm2)]],#N/A)</f>
        <v>#N/A</v>
      </c>
      <c r="AS43" s="1" t="e">
        <f>IF(AND(ISNUMBER(Table1[[#This Row],[Max Chip Thermal Density (W/cm2)]]),Table1[[#This Row],[Frequency (GHz)]]&gt;=110,Table1[[#This Row],[Frequency (GHz)]]&lt;170),Table1[[#This Row],[Max Chip Thermal Density (W/cm2)]],#N/A)</f>
        <v>#N/A</v>
      </c>
      <c r="AT43" s="1" t="e">
        <f>IF(AND(ISNUMBER(Table1[[#This Row],[Max Chip Thermal Density (W/cm2)]]),Table1[[#This Row],[Frequency (GHz)]]&gt;=170,Table1[[#This Row],[Frequency (GHz)]]&lt;260),Table1[[#This Row],[Max Chip Thermal Density (W/cm2)]],#N/A)</f>
        <v>#N/A</v>
      </c>
      <c r="AU43" s="1">
        <f>IF(AND(ISNUMBER(Table1[[#This Row],[Max Chip Thermal Density (W/cm2)]]),Table1[[#This Row],[Frequency (GHz)]]&gt;=260),Table1[[#This Row],[Max Chip Thermal Density (W/cm2)]],#N/A)</f>
        <v>16.18627783429411</v>
      </c>
    </row>
    <row r="44" spans="1:47" x14ac:dyDescent="0.2">
      <c r="A44" s="25" t="e">
        <f>IF(ISNUMBER(Table1[[#This Row],[Total Pout/Prad (dBm)]]),Table1[[#This Row],[Total Pout/Prad (dBm)]],#N/A)</f>
        <v>#N/A</v>
      </c>
      <c r="B44" s="1" t="e">
        <f>IF(ISNUMBER(Table1[[#This Row],[Total Pout/Prad (dBm)]]),Table1[[#This Row],[Total '# of TX Elements]],#N/A)</f>
        <v>#N/A</v>
      </c>
      <c r="C44" s="1" t="e">
        <f>IF(ISNUMBER(Table1[[#This Row],[TX EIRP (dBm)]]),Table1[[#This Row],[TX EIRP (dBm)]],#N/A)</f>
        <v>#N/A</v>
      </c>
      <c r="D44" s="1" t="str">
        <f>Table1[[#This Row],[TX Pdc (W)]]</f>
        <v>N/A</v>
      </c>
      <c r="E44"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44" s="1" t="e">
        <f t="shared" si="0"/>
        <v>#N/A</v>
      </c>
      <c r="G44" s="1" t="e">
        <f t="shared" si="1"/>
        <v>#N/A</v>
      </c>
      <c r="L44" s="1" t="e">
        <f>IF(Table1[[#This Row],[Frequency (GHz)]]&lt;20,Plot_Data_Power!F44,#N/A)</f>
        <v>#N/A</v>
      </c>
      <c r="M44" s="1" t="e">
        <f>IF(AND(Table1[[#This Row],[Frequency (GHz)]]&gt;=20,Table1[[#This Row],[Frequency (GHz)]]&lt;50),Plot_Data_Power!F44,#N/A)</f>
        <v>#N/A</v>
      </c>
      <c r="N44" s="1" t="e">
        <f>IF(AND(Table1[[#This Row],[Frequency (GHz)]]&gt;=50,Table1[[#This Row],[Frequency (GHz)]]&lt;75),Plot_Data_Power!F44,#N/A)</f>
        <v>#N/A</v>
      </c>
      <c r="O44" s="1" t="e">
        <f>IF(AND(Table1[[#This Row],[Frequency (GHz)]]&gt;=75,Table1[[#This Row],[Frequency (GHz)]]&lt;110),Plot_Data_Power!F44,#N/A)</f>
        <v>#N/A</v>
      </c>
      <c r="P44" s="1" t="e">
        <f>IF(AND(Table1[[#This Row],[Frequency (GHz)]]&gt;=110,Table1[[#This Row],[Frequency (GHz)]]&lt;170),Plot_Data_Power!F44,#N/A)</f>
        <v>#N/A</v>
      </c>
      <c r="Q44" s="1" t="e">
        <f>IF(AND(Table1[[#This Row],[Frequency (GHz)]]&gt;=170,Table1[[#This Row],[Frequency (GHz)]]&lt;260),Plot_Data_Power!F44,#N/A)</f>
        <v>#N/A</v>
      </c>
      <c r="R44" s="1" t="e">
        <f>IF(Table1[[#This Row],[Frequency (GHz)]]&gt;=260,Plot_Data_Power!F44,#N/A)</f>
        <v>#N/A</v>
      </c>
      <c r="U44" s="1" t="e">
        <f>IF(Table1[[#This Row],[Frequency (GHz)]]&lt;20,Plot_Data_Power!G44,#N/A)</f>
        <v>#N/A</v>
      </c>
      <c r="V44" s="1" t="e">
        <f>IF(AND(Table1[[#This Row],[Frequency (GHz)]]&gt;=20,Table1[[#This Row],[Frequency (GHz)]]&lt;50),Plot_Data_Power!G44,#N/A)</f>
        <v>#N/A</v>
      </c>
      <c r="W44" s="1" t="e">
        <f>IF(AND(Table1[[#This Row],[Frequency (GHz)]]&gt;=50,Table1[[#This Row],[Frequency (GHz)]]&lt;75),Plot_Data_Power!G44,#N/A)</f>
        <v>#N/A</v>
      </c>
      <c r="X44" s="1" t="e">
        <f>IF(AND(Table1[[#This Row],[Frequency (GHz)]]&gt;=75,Table1[[#This Row],[Frequency (GHz)]]&lt;110),Plot_Data_Power!G44,#N/A)</f>
        <v>#N/A</v>
      </c>
      <c r="Y44" s="1" t="e">
        <f>IF(AND(Table1[[#This Row],[Frequency (GHz)]]&gt;=110,Table1[[#This Row],[Frequency (GHz)]]&lt;170),Plot_Data_Power!G44,#N/A)</f>
        <v>#N/A</v>
      </c>
      <c r="Z44" s="1" t="e">
        <f>IF(AND(Table1[[#This Row],[Frequency (GHz)]]&gt;=170,Table1[[#This Row],[Frequency (GHz)]]&lt;260),Plot_Data_Power!G44,#N/A)</f>
        <v>#N/A</v>
      </c>
      <c r="AA44" s="1" t="e">
        <f>IF(Table1[[#This Row],[Frequency (GHz)]]&gt;=260,Plot_Data_Power!G44,#N/A)</f>
        <v>#N/A</v>
      </c>
      <c r="AD44" s="1" t="e">
        <f>IF(ISNUMBER(Table1[[#This Row],[Max Package Thermal Density (W/cm2)]]),Table1[[#This Row],[Max Package Thermal Density (W/cm2)]],#N/A)</f>
        <v>#N/A</v>
      </c>
      <c r="AE44" s="1" t="e">
        <f>IF(AND(ISNUMBER((Table1[[#This Row],[Max Package Thermal Density (W/cm2)]])),Table1[[#This Row],[Frequency (GHz)]]&lt;20),Table1[[#This Row],[Max Package Thermal Density (W/cm2)]],#N/A)</f>
        <v>#N/A</v>
      </c>
      <c r="AF44" s="1" t="e">
        <f>IF(AND(ISNUMBER(Table1[[#This Row],[Max Package Thermal Density (W/cm2)]]),Table1[[#This Row],[Frequency (GHz)]]&gt;=20,Table1[[#This Row],[Frequency (GHz)]]&lt;50),Table1[[#This Row],[Max Package Thermal Density (W/cm2)]],#N/A)</f>
        <v>#N/A</v>
      </c>
      <c r="AG44" s="1" t="e">
        <f>IF(AND(ISNUMBER(Table1[[#This Row],[Max Package Thermal Density (W/cm2)]]),Table1[[#This Row],[Frequency (GHz)]]&gt;=50,Table1[[#This Row],[Frequency (GHz)]]&lt;75),Table1[[#This Row],[Max Package Thermal Density (W/cm2)]],#N/A)</f>
        <v>#N/A</v>
      </c>
      <c r="AH44" s="1" t="e">
        <f>IF(AND(ISNUMBER(Table1[[#This Row],[Max Package Thermal Density (W/cm2)]]),Table1[[#This Row],[Frequency (GHz)]]&gt;=75,Table1[[#This Row],[Frequency (GHz)]]&lt;110),Table1[[#This Row],[Max Package Thermal Density (W/cm2)]],#N/A)</f>
        <v>#N/A</v>
      </c>
      <c r="AI44" s="1" t="e">
        <f>IF(AND(ISNUMBER(Table1[[#This Row],[Max Package Thermal Density (W/cm2)]]),Table1[[#This Row],[Frequency (GHz)]]&gt;=110,Table1[[#This Row],[Frequency (GHz)]]&lt;170),Table1[[#This Row],[Max Package Thermal Density (W/cm2)]],#N/A)</f>
        <v>#N/A</v>
      </c>
      <c r="AJ44" s="1" t="e">
        <f>IF(AND(ISNUMBER(Table1[[#This Row],[Max Package Thermal Density (W/cm2)]]),Table1[[#This Row],[Frequency (GHz)]]&gt;=170,Table1[[#This Row],[Frequency (GHz)]]&lt;260),Table1[[#This Row],[Max Package Thermal Density (W/cm2)]],#N/A)</f>
        <v>#N/A</v>
      </c>
      <c r="AK44" s="1" t="e">
        <f>IF(AND(ISNUMBER(Table1[[#This Row],[Max Package Thermal Density (W/cm2)]]),Table1[[#This Row],[Frequency (GHz)]]&gt;=260),Table1[[#This Row],[Max Package Thermal Density (W/cm2)]],#N/A)</f>
        <v>#N/A</v>
      </c>
      <c r="AN44" s="1">
        <f>IF(ISNUMBER(Table1[[#This Row],[Max Chip Thermal Density (W/cm2)]]),Table1[[#This Row],[Max Chip Thermal Density (W/cm2)]],#N/A)</f>
        <v>7.7922077922077913</v>
      </c>
      <c r="AO44" s="1" t="e">
        <f>IF(AND(ISNUMBER((Table1[[#This Row],[Max Chip Thermal Density (W/cm2)]])),Table1[[#This Row],[Frequency (GHz)]]&lt;20),Table1[[#This Row],[Max Chip Thermal Density (W/cm2)]],#N/A)</f>
        <v>#N/A</v>
      </c>
      <c r="AP44" s="1">
        <f>IF(AND(ISNUMBER(Table1[[#This Row],[Max Chip Thermal Density (W/cm2)]]),Table1[[#This Row],[Frequency (GHz)]]&gt;=20,Table1[[#This Row],[Frequency (GHz)]]&lt;50),Table1[[#This Row],[Max Chip Thermal Density (W/cm2)]],#N/A)</f>
        <v>7.7922077922077913</v>
      </c>
      <c r="AQ44" s="1" t="e">
        <f>IF(AND(ISNUMBER(Table1[[#This Row],[Max Chip Thermal Density (W/cm2)]]),Table1[[#This Row],[Frequency (GHz)]]&gt;=50,Table1[[#This Row],[Frequency (GHz)]]&lt;75),Table1[[#This Row],[Max Chip Thermal Density (W/cm2)]],#N/A)</f>
        <v>#N/A</v>
      </c>
      <c r="AR44" s="1" t="e">
        <f>IF(AND(ISNUMBER(Table1[[#This Row],[Max Chip Thermal Density (W/cm2)]]),Table1[[#This Row],[Frequency (GHz)]]&gt;=75,Table1[[#This Row],[Frequency (GHz)]]&lt;110),Table1[[#This Row],[Max Chip Thermal Density (W/cm2)]],#N/A)</f>
        <v>#N/A</v>
      </c>
      <c r="AS44" s="1" t="e">
        <f>IF(AND(ISNUMBER(Table1[[#This Row],[Max Chip Thermal Density (W/cm2)]]),Table1[[#This Row],[Frequency (GHz)]]&gt;=110,Table1[[#This Row],[Frequency (GHz)]]&lt;170),Table1[[#This Row],[Max Chip Thermal Density (W/cm2)]],#N/A)</f>
        <v>#N/A</v>
      </c>
      <c r="AT44" s="1" t="e">
        <f>IF(AND(ISNUMBER(Table1[[#This Row],[Max Chip Thermal Density (W/cm2)]]),Table1[[#This Row],[Frequency (GHz)]]&gt;=170,Table1[[#This Row],[Frequency (GHz)]]&lt;260),Table1[[#This Row],[Max Chip Thermal Density (W/cm2)]],#N/A)</f>
        <v>#N/A</v>
      </c>
      <c r="AU44" s="1" t="e">
        <f>IF(AND(ISNUMBER(Table1[[#This Row],[Max Chip Thermal Density (W/cm2)]]),Table1[[#This Row],[Frequency (GHz)]]&gt;=260),Table1[[#This Row],[Max Chip Thermal Density (W/cm2)]],#N/A)</f>
        <v>#N/A</v>
      </c>
    </row>
    <row r="45" spans="1:47" x14ac:dyDescent="0.2">
      <c r="A45" s="25" t="e">
        <f>IF(ISNUMBER(Table1[[#This Row],[Total Pout/Prad (dBm)]]),Table1[[#This Row],[Total Pout/Prad (dBm)]],#N/A)</f>
        <v>#N/A</v>
      </c>
      <c r="B45" s="1" t="e">
        <f>IF(ISNUMBER(Table1[[#This Row],[Total Pout/Prad (dBm)]]),Table1[[#This Row],[Total '# of TX Elements]],#N/A)</f>
        <v>#N/A</v>
      </c>
      <c r="C45" s="1" t="e">
        <f>IF(ISNUMBER(Table1[[#This Row],[TX EIRP (dBm)]]),Table1[[#This Row],[TX EIRP (dBm)]],#N/A)</f>
        <v>#N/A</v>
      </c>
      <c r="D45" s="1" t="str">
        <f>Table1[[#This Row],[TX Pdc (W)]]</f>
        <v>N/A</v>
      </c>
      <c r="E45"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45" s="1" t="e">
        <f t="shared" si="0"/>
        <v>#N/A</v>
      </c>
      <c r="G45" s="1" t="e">
        <f t="shared" si="1"/>
        <v>#N/A</v>
      </c>
      <c r="L45" s="1" t="e">
        <f>IF(Table1[[#This Row],[Frequency (GHz)]]&lt;20,Plot_Data_Power!F45,#N/A)</f>
        <v>#N/A</v>
      </c>
      <c r="M45" s="1" t="e">
        <f>IF(AND(Table1[[#This Row],[Frequency (GHz)]]&gt;=20,Table1[[#This Row],[Frequency (GHz)]]&lt;50),Plot_Data_Power!F45,#N/A)</f>
        <v>#N/A</v>
      </c>
      <c r="N45" s="1" t="e">
        <f>IF(AND(Table1[[#This Row],[Frequency (GHz)]]&gt;=50,Table1[[#This Row],[Frequency (GHz)]]&lt;75),Plot_Data_Power!F45,#N/A)</f>
        <v>#N/A</v>
      </c>
      <c r="O45" s="1" t="e">
        <f>IF(AND(Table1[[#This Row],[Frequency (GHz)]]&gt;=75,Table1[[#This Row],[Frequency (GHz)]]&lt;110),Plot_Data_Power!F45,#N/A)</f>
        <v>#N/A</v>
      </c>
      <c r="P45" s="1" t="e">
        <f>IF(AND(Table1[[#This Row],[Frequency (GHz)]]&gt;=110,Table1[[#This Row],[Frequency (GHz)]]&lt;170),Plot_Data_Power!F45,#N/A)</f>
        <v>#N/A</v>
      </c>
      <c r="Q45" s="1" t="e">
        <f>IF(AND(Table1[[#This Row],[Frequency (GHz)]]&gt;=170,Table1[[#This Row],[Frequency (GHz)]]&lt;260),Plot_Data_Power!F45,#N/A)</f>
        <v>#N/A</v>
      </c>
      <c r="R45" s="1" t="e">
        <f>IF(Table1[[#This Row],[Frequency (GHz)]]&gt;=260,Plot_Data_Power!F45,#N/A)</f>
        <v>#N/A</v>
      </c>
      <c r="U45" s="1" t="e">
        <f>IF(Table1[[#This Row],[Frequency (GHz)]]&lt;20,Plot_Data_Power!G45,#N/A)</f>
        <v>#N/A</v>
      </c>
      <c r="V45" s="1" t="e">
        <f>IF(AND(Table1[[#This Row],[Frequency (GHz)]]&gt;=20,Table1[[#This Row],[Frequency (GHz)]]&lt;50),Plot_Data_Power!G45,#N/A)</f>
        <v>#N/A</v>
      </c>
      <c r="W45" s="1" t="e">
        <f>IF(AND(Table1[[#This Row],[Frequency (GHz)]]&gt;=50,Table1[[#This Row],[Frequency (GHz)]]&lt;75),Plot_Data_Power!G45,#N/A)</f>
        <v>#N/A</v>
      </c>
      <c r="X45" s="1" t="e">
        <f>IF(AND(Table1[[#This Row],[Frequency (GHz)]]&gt;=75,Table1[[#This Row],[Frequency (GHz)]]&lt;110),Plot_Data_Power!G45,#N/A)</f>
        <v>#N/A</v>
      </c>
      <c r="Y45" s="1" t="e">
        <f>IF(AND(Table1[[#This Row],[Frequency (GHz)]]&gt;=110,Table1[[#This Row],[Frequency (GHz)]]&lt;170),Plot_Data_Power!G45,#N/A)</f>
        <v>#N/A</v>
      </c>
      <c r="Z45" s="1" t="e">
        <f>IF(AND(Table1[[#This Row],[Frequency (GHz)]]&gt;=170,Table1[[#This Row],[Frequency (GHz)]]&lt;260),Plot_Data_Power!G45,#N/A)</f>
        <v>#N/A</v>
      </c>
      <c r="AA45" s="1" t="e">
        <f>IF(Table1[[#This Row],[Frequency (GHz)]]&gt;=260,Plot_Data_Power!G45,#N/A)</f>
        <v>#N/A</v>
      </c>
      <c r="AD45" s="1" t="e">
        <f>IF(ISNUMBER(Table1[[#This Row],[Max Package Thermal Density (W/cm2)]]),Table1[[#This Row],[Max Package Thermal Density (W/cm2)]],#N/A)</f>
        <v>#N/A</v>
      </c>
      <c r="AE45" s="1" t="e">
        <f>IF(AND(ISNUMBER((Table1[[#This Row],[Max Package Thermal Density (W/cm2)]])),Table1[[#This Row],[Frequency (GHz)]]&lt;20),Table1[[#This Row],[Max Package Thermal Density (W/cm2)]],#N/A)</f>
        <v>#N/A</v>
      </c>
      <c r="AF45" s="1" t="e">
        <f>IF(AND(ISNUMBER(Table1[[#This Row],[Max Package Thermal Density (W/cm2)]]),Table1[[#This Row],[Frequency (GHz)]]&gt;=20,Table1[[#This Row],[Frequency (GHz)]]&lt;50),Table1[[#This Row],[Max Package Thermal Density (W/cm2)]],#N/A)</f>
        <v>#N/A</v>
      </c>
      <c r="AG45" s="1" t="e">
        <f>IF(AND(ISNUMBER(Table1[[#This Row],[Max Package Thermal Density (W/cm2)]]),Table1[[#This Row],[Frequency (GHz)]]&gt;=50,Table1[[#This Row],[Frequency (GHz)]]&lt;75),Table1[[#This Row],[Max Package Thermal Density (W/cm2)]],#N/A)</f>
        <v>#N/A</v>
      </c>
      <c r="AH45" s="1" t="e">
        <f>IF(AND(ISNUMBER(Table1[[#This Row],[Max Package Thermal Density (W/cm2)]]),Table1[[#This Row],[Frequency (GHz)]]&gt;=75,Table1[[#This Row],[Frequency (GHz)]]&lt;110),Table1[[#This Row],[Max Package Thermal Density (W/cm2)]],#N/A)</f>
        <v>#N/A</v>
      </c>
      <c r="AI45" s="1" t="e">
        <f>IF(AND(ISNUMBER(Table1[[#This Row],[Max Package Thermal Density (W/cm2)]]),Table1[[#This Row],[Frequency (GHz)]]&gt;=110,Table1[[#This Row],[Frequency (GHz)]]&lt;170),Table1[[#This Row],[Max Package Thermal Density (W/cm2)]],#N/A)</f>
        <v>#N/A</v>
      </c>
      <c r="AJ45" s="1" t="e">
        <f>IF(AND(ISNUMBER(Table1[[#This Row],[Max Package Thermal Density (W/cm2)]]),Table1[[#This Row],[Frequency (GHz)]]&gt;=170,Table1[[#This Row],[Frequency (GHz)]]&lt;260),Table1[[#This Row],[Max Package Thermal Density (W/cm2)]],#N/A)</f>
        <v>#N/A</v>
      </c>
      <c r="AK45" s="1" t="e">
        <f>IF(AND(ISNUMBER(Table1[[#This Row],[Max Package Thermal Density (W/cm2)]]),Table1[[#This Row],[Frequency (GHz)]]&gt;=260),Table1[[#This Row],[Max Package Thermal Density (W/cm2)]],#N/A)</f>
        <v>#N/A</v>
      </c>
      <c r="AN45" s="1">
        <f>IF(ISNUMBER(Table1[[#This Row],[Max Chip Thermal Density (W/cm2)]]),Table1[[#This Row],[Max Chip Thermal Density (W/cm2)]],#N/A)</f>
        <v>7.7922077922077913</v>
      </c>
      <c r="AO45" s="1" t="e">
        <f>IF(AND(ISNUMBER((Table1[[#This Row],[Max Chip Thermal Density (W/cm2)]])),Table1[[#This Row],[Frequency (GHz)]]&lt;20),Table1[[#This Row],[Max Chip Thermal Density (W/cm2)]],#N/A)</f>
        <v>#N/A</v>
      </c>
      <c r="AP45" s="1">
        <f>IF(AND(ISNUMBER(Table1[[#This Row],[Max Chip Thermal Density (W/cm2)]]),Table1[[#This Row],[Frequency (GHz)]]&gt;=20,Table1[[#This Row],[Frequency (GHz)]]&lt;50),Table1[[#This Row],[Max Chip Thermal Density (W/cm2)]],#N/A)</f>
        <v>7.7922077922077913</v>
      </c>
      <c r="AQ45" s="1" t="e">
        <f>IF(AND(ISNUMBER(Table1[[#This Row],[Max Chip Thermal Density (W/cm2)]]),Table1[[#This Row],[Frequency (GHz)]]&gt;=50,Table1[[#This Row],[Frequency (GHz)]]&lt;75),Table1[[#This Row],[Max Chip Thermal Density (W/cm2)]],#N/A)</f>
        <v>#N/A</v>
      </c>
      <c r="AR45" s="1" t="e">
        <f>IF(AND(ISNUMBER(Table1[[#This Row],[Max Chip Thermal Density (W/cm2)]]),Table1[[#This Row],[Frequency (GHz)]]&gt;=75,Table1[[#This Row],[Frequency (GHz)]]&lt;110),Table1[[#This Row],[Max Chip Thermal Density (W/cm2)]],#N/A)</f>
        <v>#N/A</v>
      </c>
      <c r="AS45" s="1" t="e">
        <f>IF(AND(ISNUMBER(Table1[[#This Row],[Max Chip Thermal Density (W/cm2)]]),Table1[[#This Row],[Frequency (GHz)]]&gt;=110,Table1[[#This Row],[Frequency (GHz)]]&lt;170),Table1[[#This Row],[Max Chip Thermal Density (W/cm2)]],#N/A)</f>
        <v>#N/A</v>
      </c>
      <c r="AT45" s="1" t="e">
        <f>IF(AND(ISNUMBER(Table1[[#This Row],[Max Chip Thermal Density (W/cm2)]]),Table1[[#This Row],[Frequency (GHz)]]&gt;=170,Table1[[#This Row],[Frequency (GHz)]]&lt;260),Table1[[#This Row],[Max Chip Thermal Density (W/cm2)]],#N/A)</f>
        <v>#N/A</v>
      </c>
      <c r="AU45" s="1" t="e">
        <f>IF(AND(ISNUMBER(Table1[[#This Row],[Max Chip Thermal Density (W/cm2)]]),Table1[[#This Row],[Frequency (GHz)]]&gt;=260),Table1[[#This Row],[Max Chip Thermal Density (W/cm2)]],#N/A)</f>
        <v>#N/A</v>
      </c>
    </row>
    <row r="46" spans="1:47" x14ac:dyDescent="0.2">
      <c r="A46" s="25">
        <f>IF(ISNUMBER(Table1[[#This Row],[Total Pout/Prad (dBm)]]),Table1[[#This Row],[Total Pout/Prad (dBm)]],#N/A)</f>
        <v>33.561799739838875</v>
      </c>
      <c r="B46" s="1">
        <f>IF(ISNUMBER(Table1[[#This Row],[Total Pout/Prad (dBm)]]),Table1[[#This Row],[Total '# of TX Elements]],#N/A)</f>
        <v>64</v>
      </c>
      <c r="C46" s="1">
        <f>IF(ISNUMBER(Table1[[#This Row],[TX EIRP (dBm)]]),Table1[[#This Row],[TX EIRP (dBm)]],#N/A)</f>
        <v>53</v>
      </c>
      <c r="D46" s="1">
        <f>Table1[[#This Row],[TX Pdc (W)]]</f>
        <v>24</v>
      </c>
      <c r="E46" s="1">
        <f>IF(ISNUMBER(Table1[[#This Row],[Array Aperture Size (cm2)]]),Table1[[#This Row],[Array Aperture Size (cm2)]],IF(Table1[[#This Row],[Antenna on (None, Chip, AiP, PCB)]]="Chip",Table1[[#This Row],[Chip Core Size - X (mm)]]*Table1[[#This Row],[Chip Core Size -Y (mm)]]/100*Table1[[#This Row],['# of IC per Tile]]*Table1[[#This Row],['# of Array Tile]],#N/A))</f>
        <v>9.6187500000000004</v>
      </c>
      <c r="F46" s="1">
        <f t="shared" si="0"/>
        <v>9.4616903795620217</v>
      </c>
      <c r="G46" s="1">
        <f t="shared" si="1"/>
        <v>831.35929790370062</v>
      </c>
      <c r="L46" s="1" t="e">
        <f>IF(Table1[[#This Row],[Frequency (GHz)]]&lt;20,Plot_Data_Power!F46,#N/A)</f>
        <v>#N/A</v>
      </c>
      <c r="M46" s="1">
        <f>IF(AND(Table1[[#This Row],[Frequency (GHz)]]&gt;=20,Table1[[#This Row],[Frequency (GHz)]]&lt;50),Plot_Data_Power!F46,#N/A)</f>
        <v>9.4616903795620217</v>
      </c>
      <c r="N46" s="1" t="e">
        <f>IF(AND(Table1[[#This Row],[Frequency (GHz)]]&gt;=50,Table1[[#This Row],[Frequency (GHz)]]&lt;75),Plot_Data_Power!F46,#N/A)</f>
        <v>#N/A</v>
      </c>
      <c r="O46" s="1" t="e">
        <f>IF(AND(Table1[[#This Row],[Frequency (GHz)]]&gt;=75,Table1[[#This Row],[Frequency (GHz)]]&lt;110),Plot_Data_Power!F46,#N/A)</f>
        <v>#N/A</v>
      </c>
      <c r="P46" s="1" t="e">
        <f>IF(AND(Table1[[#This Row],[Frequency (GHz)]]&gt;=110,Table1[[#This Row],[Frequency (GHz)]]&lt;170),Plot_Data_Power!F46,#N/A)</f>
        <v>#N/A</v>
      </c>
      <c r="Q46" s="1" t="e">
        <f>IF(AND(Table1[[#This Row],[Frequency (GHz)]]&gt;=170,Table1[[#This Row],[Frequency (GHz)]]&lt;260),Plot_Data_Power!F46,#N/A)</f>
        <v>#N/A</v>
      </c>
      <c r="R46" s="1" t="e">
        <f>IF(Table1[[#This Row],[Frequency (GHz)]]&gt;=260,Plot_Data_Power!F46,#N/A)</f>
        <v>#N/A</v>
      </c>
      <c r="U46" s="1" t="e">
        <f>IF(Table1[[#This Row],[Frequency (GHz)]]&lt;20,Plot_Data_Power!G46,#N/A)</f>
        <v>#N/A</v>
      </c>
      <c r="V46" s="1">
        <f>IF(AND(Table1[[#This Row],[Frequency (GHz)]]&gt;=20,Table1[[#This Row],[Frequency (GHz)]]&lt;50),Plot_Data_Power!G46,#N/A)</f>
        <v>831.35929790370062</v>
      </c>
      <c r="W46" s="1" t="e">
        <f>IF(AND(Table1[[#This Row],[Frequency (GHz)]]&gt;=50,Table1[[#This Row],[Frequency (GHz)]]&lt;75),Plot_Data_Power!G46,#N/A)</f>
        <v>#N/A</v>
      </c>
      <c r="X46" s="1" t="e">
        <f>IF(AND(Table1[[#This Row],[Frequency (GHz)]]&gt;=75,Table1[[#This Row],[Frequency (GHz)]]&lt;110),Plot_Data_Power!G46,#N/A)</f>
        <v>#N/A</v>
      </c>
      <c r="Y46" s="1" t="e">
        <f>IF(AND(Table1[[#This Row],[Frequency (GHz)]]&gt;=110,Table1[[#This Row],[Frequency (GHz)]]&lt;170),Plot_Data_Power!G46,#N/A)</f>
        <v>#N/A</v>
      </c>
      <c r="Z46" s="1" t="e">
        <f>IF(AND(Table1[[#This Row],[Frequency (GHz)]]&gt;=170,Table1[[#This Row],[Frequency (GHz)]]&lt;260),Plot_Data_Power!G46,#N/A)</f>
        <v>#N/A</v>
      </c>
      <c r="AA46" s="1" t="e">
        <f>IF(Table1[[#This Row],[Frequency (GHz)]]&gt;=260,Plot_Data_Power!G46,#N/A)</f>
        <v>#N/A</v>
      </c>
      <c r="AD46" s="1">
        <f>IF(ISNUMBER(Table1[[#This Row],[Max Package Thermal Density (W/cm2)]]),Table1[[#This Row],[Max Package Thermal Density (W/cm2)]],#N/A)</f>
        <v>2.4951267056530213</v>
      </c>
      <c r="AE46" s="1" t="e">
        <f>IF(AND(ISNUMBER((Table1[[#This Row],[Max Package Thermal Density (W/cm2)]])),Table1[[#This Row],[Frequency (GHz)]]&lt;20),Table1[[#This Row],[Max Package Thermal Density (W/cm2)]],#N/A)</f>
        <v>#N/A</v>
      </c>
      <c r="AF46" s="1">
        <f>IF(AND(ISNUMBER(Table1[[#This Row],[Max Package Thermal Density (W/cm2)]]),Table1[[#This Row],[Frequency (GHz)]]&gt;=20,Table1[[#This Row],[Frequency (GHz)]]&lt;50),Table1[[#This Row],[Max Package Thermal Density (W/cm2)]],#N/A)</f>
        <v>2.4951267056530213</v>
      </c>
      <c r="AG46" s="1" t="e">
        <f>IF(AND(ISNUMBER(Table1[[#This Row],[Max Package Thermal Density (W/cm2)]]),Table1[[#This Row],[Frequency (GHz)]]&gt;=50,Table1[[#This Row],[Frequency (GHz)]]&lt;75),Table1[[#This Row],[Max Package Thermal Density (W/cm2)]],#N/A)</f>
        <v>#N/A</v>
      </c>
      <c r="AH46" s="1" t="e">
        <f>IF(AND(ISNUMBER(Table1[[#This Row],[Max Package Thermal Density (W/cm2)]]),Table1[[#This Row],[Frequency (GHz)]]&gt;=75,Table1[[#This Row],[Frequency (GHz)]]&lt;110),Table1[[#This Row],[Max Package Thermal Density (W/cm2)]],#N/A)</f>
        <v>#N/A</v>
      </c>
      <c r="AI46" s="1" t="e">
        <f>IF(AND(ISNUMBER(Table1[[#This Row],[Max Package Thermal Density (W/cm2)]]),Table1[[#This Row],[Frequency (GHz)]]&gt;=110,Table1[[#This Row],[Frequency (GHz)]]&lt;170),Table1[[#This Row],[Max Package Thermal Density (W/cm2)]],#N/A)</f>
        <v>#N/A</v>
      </c>
      <c r="AJ46" s="1" t="e">
        <f>IF(AND(ISNUMBER(Table1[[#This Row],[Max Package Thermal Density (W/cm2)]]),Table1[[#This Row],[Frequency (GHz)]]&gt;=170,Table1[[#This Row],[Frequency (GHz)]]&lt;260),Table1[[#This Row],[Max Package Thermal Density (W/cm2)]],#N/A)</f>
        <v>#N/A</v>
      </c>
      <c r="AK46" s="1" t="e">
        <f>IF(AND(ISNUMBER(Table1[[#This Row],[Max Package Thermal Density (W/cm2)]]),Table1[[#This Row],[Frequency (GHz)]]&gt;=260),Table1[[#This Row],[Max Package Thermal Density (W/cm2)]],#N/A)</f>
        <v>#N/A</v>
      </c>
      <c r="AN46" s="1">
        <f>IF(ISNUMBER(Table1[[#This Row],[Max Chip Thermal Density (W/cm2)]]),Table1[[#This Row],[Max Chip Thermal Density (W/cm2)]],#N/A)</f>
        <v>12.5</v>
      </c>
      <c r="AO46" s="1" t="e">
        <f>IF(AND(ISNUMBER((Table1[[#This Row],[Max Chip Thermal Density (W/cm2)]])),Table1[[#This Row],[Frequency (GHz)]]&lt;20),Table1[[#This Row],[Max Chip Thermal Density (W/cm2)]],#N/A)</f>
        <v>#N/A</v>
      </c>
      <c r="AP46" s="1">
        <f>IF(AND(ISNUMBER(Table1[[#This Row],[Max Chip Thermal Density (W/cm2)]]),Table1[[#This Row],[Frequency (GHz)]]&gt;=20,Table1[[#This Row],[Frequency (GHz)]]&lt;50),Table1[[#This Row],[Max Chip Thermal Density (W/cm2)]],#N/A)</f>
        <v>12.5</v>
      </c>
      <c r="AQ46" s="1" t="e">
        <f>IF(AND(ISNUMBER(Table1[[#This Row],[Max Chip Thermal Density (W/cm2)]]),Table1[[#This Row],[Frequency (GHz)]]&gt;=50,Table1[[#This Row],[Frequency (GHz)]]&lt;75),Table1[[#This Row],[Max Chip Thermal Density (W/cm2)]],#N/A)</f>
        <v>#N/A</v>
      </c>
      <c r="AR46" s="1" t="e">
        <f>IF(AND(ISNUMBER(Table1[[#This Row],[Max Chip Thermal Density (W/cm2)]]),Table1[[#This Row],[Frequency (GHz)]]&gt;=75,Table1[[#This Row],[Frequency (GHz)]]&lt;110),Table1[[#This Row],[Max Chip Thermal Density (W/cm2)]],#N/A)</f>
        <v>#N/A</v>
      </c>
      <c r="AS46" s="1" t="e">
        <f>IF(AND(ISNUMBER(Table1[[#This Row],[Max Chip Thermal Density (W/cm2)]]),Table1[[#This Row],[Frequency (GHz)]]&gt;=110,Table1[[#This Row],[Frequency (GHz)]]&lt;170),Table1[[#This Row],[Max Chip Thermal Density (W/cm2)]],#N/A)</f>
        <v>#N/A</v>
      </c>
      <c r="AT46" s="1" t="e">
        <f>IF(AND(ISNUMBER(Table1[[#This Row],[Max Chip Thermal Density (W/cm2)]]),Table1[[#This Row],[Frequency (GHz)]]&gt;=170,Table1[[#This Row],[Frequency (GHz)]]&lt;260),Table1[[#This Row],[Max Chip Thermal Density (W/cm2)]],#N/A)</f>
        <v>#N/A</v>
      </c>
      <c r="AU46" s="1" t="e">
        <f>IF(AND(ISNUMBER(Table1[[#This Row],[Max Chip Thermal Density (W/cm2)]]),Table1[[#This Row],[Frequency (GHz)]]&gt;=260),Table1[[#This Row],[Max Chip Thermal Density (W/cm2)]],#N/A)</f>
        <v>#N/A</v>
      </c>
    </row>
    <row r="47" spans="1:47" x14ac:dyDescent="0.2">
      <c r="A47" s="25">
        <f>IF(ISNUMBER(Table1[[#This Row],[Total Pout/Prad (dBm)]]),Table1[[#This Row],[Total Pout/Prad (dBm)]],#N/A)</f>
        <v>32.0823996531185</v>
      </c>
      <c r="B47" s="1">
        <f>IF(ISNUMBER(Table1[[#This Row],[Total Pout/Prad (dBm)]]),Table1[[#This Row],[Total '# of TX Elements]],#N/A)</f>
        <v>256</v>
      </c>
      <c r="C47" s="1">
        <f>IF(ISNUMBER(Table1[[#This Row],[TX EIRP (dBm)]]),Table1[[#This Row],[TX EIRP (dBm)]],#N/A)</f>
        <v>60</v>
      </c>
      <c r="D47" s="1">
        <f>Table1[[#This Row],[TX Pdc (W)]]</f>
        <v>70.400000000000006</v>
      </c>
      <c r="E47"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47" s="1">
        <f t="shared" si="0"/>
        <v>2.2943903435643414</v>
      </c>
      <c r="G47" s="1">
        <f t="shared" si="1"/>
        <v>1420.4545454545453</v>
      </c>
      <c r="L47" s="1" t="e">
        <f>IF(Table1[[#This Row],[Frequency (GHz)]]&lt;20,Plot_Data_Power!F47,#N/A)</f>
        <v>#N/A</v>
      </c>
      <c r="M47" s="1" t="e">
        <f>IF(AND(Table1[[#This Row],[Frequency (GHz)]]&gt;=20,Table1[[#This Row],[Frequency (GHz)]]&lt;50),Plot_Data_Power!F47,#N/A)</f>
        <v>#N/A</v>
      </c>
      <c r="N47" s="1" t="e">
        <f>IF(AND(Table1[[#This Row],[Frequency (GHz)]]&gt;=50,Table1[[#This Row],[Frequency (GHz)]]&lt;75),Plot_Data_Power!F47,#N/A)</f>
        <v>#N/A</v>
      </c>
      <c r="O47" s="1">
        <f>IF(AND(Table1[[#This Row],[Frequency (GHz)]]&gt;=75,Table1[[#This Row],[Frequency (GHz)]]&lt;110),Plot_Data_Power!F47,#N/A)</f>
        <v>2.2943903435643414</v>
      </c>
      <c r="P47" s="1" t="e">
        <f>IF(AND(Table1[[#This Row],[Frequency (GHz)]]&gt;=110,Table1[[#This Row],[Frequency (GHz)]]&lt;170),Plot_Data_Power!F47,#N/A)</f>
        <v>#N/A</v>
      </c>
      <c r="Q47" s="1" t="e">
        <f>IF(AND(Table1[[#This Row],[Frequency (GHz)]]&gt;=170,Table1[[#This Row],[Frequency (GHz)]]&lt;260),Plot_Data_Power!F47,#N/A)</f>
        <v>#N/A</v>
      </c>
      <c r="R47" s="1" t="e">
        <f>IF(Table1[[#This Row],[Frequency (GHz)]]&gt;=260,Plot_Data_Power!F47,#N/A)</f>
        <v>#N/A</v>
      </c>
      <c r="U47" s="1" t="e">
        <f>IF(Table1[[#This Row],[Frequency (GHz)]]&lt;20,Plot_Data_Power!G47,#N/A)</f>
        <v>#N/A</v>
      </c>
      <c r="V47" s="1" t="e">
        <f>IF(AND(Table1[[#This Row],[Frequency (GHz)]]&gt;=20,Table1[[#This Row],[Frequency (GHz)]]&lt;50),Plot_Data_Power!G47,#N/A)</f>
        <v>#N/A</v>
      </c>
      <c r="W47" s="1" t="e">
        <f>IF(AND(Table1[[#This Row],[Frequency (GHz)]]&gt;=50,Table1[[#This Row],[Frequency (GHz)]]&lt;75),Plot_Data_Power!G47,#N/A)</f>
        <v>#N/A</v>
      </c>
      <c r="X47" s="1">
        <f>IF(AND(Table1[[#This Row],[Frequency (GHz)]]&gt;=75,Table1[[#This Row],[Frequency (GHz)]]&lt;110),Plot_Data_Power!G47,#N/A)</f>
        <v>1420.4545454545453</v>
      </c>
      <c r="Y47" s="1" t="e">
        <f>IF(AND(Table1[[#This Row],[Frequency (GHz)]]&gt;=110,Table1[[#This Row],[Frequency (GHz)]]&lt;170),Plot_Data_Power!G47,#N/A)</f>
        <v>#N/A</v>
      </c>
      <c r="Z47" s="1" t="e">
        <f>IF(AND(Table1[[#This Row],[Frequency (GHz)]]&gt;=170,Table1[[#This Row],[Frequency (GHz)]]&lt;260),Plot_Data_Power!G47,#N/A)</f>
        <v>#N/A</v>
      </c>
      <c r="AA47" s="1" t="e">
        <f>IF(Table1[[#This Row],[Frequency (GHz)]]&gt;=260,Plot_Data_Power!G47,#N/A)</f>
        <v>#N/A</v>
      </c>
      <c r="AD47" s="1" t="e">
        <f>IF(ISNUMBER(Table1[[#This Row],[Max Package Thermal Density (W/cm2)]]),Table1[[#This Row],[Max Package Thermal Density (W/cm2)]],#N/A)</f>
        <v>#N/A</v>
      </c>
      <c r="AE47" s="1" t="e">
        <f>IF(AND(ISNUMBER((Table1[[#This Row],[Max Package Thermal Density (W/cm2)]])),Table1[[#This Row],[Frequency (GHz)]]&lt;20),Table1[[#This Row],[Max Package Thermal Density (W/cm2)]],#N/A)</f>
        <v>#N/A</v>
      </c>
      <c r="AF47" s="1" t="e">
        <f>IF(AND(ISNUMBER(Table1[[#This Row],[Max Package Thermal Density (W/cm2)]]),Table1[[#This Row],[Frequency (GHz)]]&gt;=20,Table1[[#This Row],[Frequency (GHz)]]&lt;50),Table1[[#This Row],[Max Package Thermal Density (W/cm2)]],#N/A)</f>
        <v>#N/A</v>
      </c>
      <c r="AG47" s="1" t="e">
        <f>IF(AND(ISNUMBER(Table1[[#This Row],[Max Package Thermal Density (W/cm2)]]),Table1[[#This Row],[Frequency (GHz)]]&gt;=50,Table1[[#This Row],[Frequency (GHz)]]&lt;75),Table1[[#This Row],[Max Package Thermal Density (W/cm2)]],#N/A)</f>
        <v>#N/A</v>
      </c>
      <c r="AH47" s="1" t="e">
        <f>IF(AND(ISNUMBER(Table1[[#This Row],[Max Package Thermal Density (W/cm2)]]),Table1[[#This Row],[Frequency (GHz)]]&gt;=75,Table1[[#This Row],[Frequency (GHz)]]&lt;110),Table1[[#This Row],[Max Package Thermal Density (W/cm2)]],#N/A)</f>
        <v>#N/A</v>
      </c>
      <c r="AI47" s="1" t="e">
        <f>IF(AND(ISNUMBER(Table1[[#This Row],[Max Package Thermal Density (W/cm2)]]),Table1[[#This Row],[Frequency (GHz)]]&gt;=110,Table1[[#This Row],[Frequency (GHz)]]&lt;170),Table1[[#This Row],[Max Package Thermal Density (W/cm2)]],#N/A)</f>
        <v>#N/A</v>
      </c>
      <c r="AJ47" s="1" t="e">
        <f>IF(AND(ISNUMBER(Table1[[#This Row],[Max Package Thermal Density (W/cm2)]]),Table1[[#This Row],[Frequency (GHz)]]&gt;=170,Table1[[#This Row],[Frequency (GHz)]]&lt;260),Table1[[#This Row],[Max Package Thermal Density (W/cm2)]],#N/A)</f>
        <v>#N/A</v>
      </c>
      <c r="AK47" s="1" t="e">
        <f>IF(AND(ISNUMBER(Table1[[#This Row],[Max Package Thermal Density (W/cm2)]]),Table1[[#This Row],[Frequency (GHz)]]&gt;=260),Table1[[#This Row],[Max Package Thermal Density (W/cm2)]],#N/A)</f>
        <v>#N/A</v>
      </c>
      <c r="AN47" s="1" t="e">
        <f>IF(ISNUMBER(Table1[[#This Row],[Max Chip Thermal Density (W/cm2)]]),Table1[[#This Row],[Max Chip Thermal Density (W/cm2)]],#N/A)</f>
        <v>#N/A</v>
      </c>
      <c r="AO47" s="1" t="e">
        <f>IF(AND(ISNUMBER((Table1[[#This Row],[Max Chip Thermal Density (W/cm2)]])),Table1[[#This Row],[Frequency (GHz)]]&lt;20),Table1[[#This Row],[Max Chip Thermal Density (W/cm2)]],#N/A)</f>
        <v>#N/A</v>
      </c>
      <c r="AP47" s="1" t="e">
        <f>IF(AND(ISNUMBER(Table1[[#This Row],[Max Chip Thermal Density (W/cm2)]]),Table1[[#This Row],[Frequency (GHz)]]&gt;=20,Table1[[#This Row],[Frequency (GHz)]]&lt;50),Table1[[#This Row],[Max Chip Thermal Density (W/cm2)]],#N/A)</f>
        <v>#N/A</v>
      </c>
      <c r="AQ47" s="1" t="e">
        <f>IF(AND(ISNUMBER(Table1[[#This Row],[Max Chip Thermal Density (W/cm2)]]),Table1[[#This Row],[Frequency (GHz)]]&gt;=50,Table1[[#This Row],[Frequency (GHz)]]&lt;75),Table1[[#This Row],[Max Chip Thermal Density (W/cm2)]],#N/A)</f>
        <v>#N/A</v>
      </c>
      <c r="AR47" s="1" t="e">
        <f>IF(AND(ISNUMBER(Table1[[#This Row],[Max Chip Thermal Density (W/cm2)]]),Table1[[#This Row],[Frequency (GHz)]]&gt;=75,Table1[[#This Row],[Frequency (GHz)]]&lt;110),Table1[[#This Row],[Max Chip Thermal Density (W/cm2)]],#N/A)</f>
        <v>#N/A</v>
      </c>
      <c r="AS47" s="1" t="e">
        <f>IF(AND(ISNUMBER(Table1[[#This Row],[Max Chip Thermal Density (W/cm2)]]),Table1[[#This Row],[Frequency (GHz)]]&gt;=110,Table1[[#This Row],[Frequency (GHz)]]&lt;170),Table1[[#This Row],[Max Chip Thermal Density (W/cm2)]],#N/A)</f>
        <v>#N/A</v>
      </c>
      <c r="AT47" s="1" t="e">
        <f>IF(AND(ISNUMBER(Table1[[#This Row],[Max Chip Thermal Density (W/cm2)]]),Table1[[#This Row],[Frequency (GHz)]]&gt;=170,Table1[[#This Row],[Frequency (GHz)]]&lt;260),Table1[[#This Row],[Max Chip Thermal Density (W/cm2)]],#N/A)</f>
        <v>#N/A</v>
      </c>
      <c r="AU47" s="1" t="e">
        <f>IF(AND(ISNUMBER(Table1[[#This Row],[Max Chip Thermal Density (W/cm2)]]),Table1[[#This Row],[Frequency (GHz)]]&gt;=260),Table1[[#This Row],[Max Chip Thermal Density (W/cm2)]],#N/A)</f>
        <v>#N/A</v>
      </c>
    </row>
    <row r="48" spans="1:47" x14ac:dyDescent="0.2">
      <c r="A48" s="25">
        <f>IF(ISNUMBER(Table1[[#This Row],[Total Pout/Prad (dBm)]]),Table1[[#This Row],[Total Pout/Prad (dBm)]],#N/A)</f>
        <v>9.1999999999999993</v>
      </c>
      <c r="B48" s="1">
        <f>IF(ISNUMBER(Table1[[#This Row],[Total Pout/Prad (dBm)]]),Table1[[#This Row],[Total '# of TX Elements]],#N/A)</f>
        <v>64</v>
      </c>
      <c r="C48" s="1">
        <f>IF(ISNUMBER(Table1[[#This Row],[TX EIRP (dBm)]]),Table1[[#This Row],[TX EIRP (dBm)]],#N/A)</f>
        <v>32.799999999999997</v>
      </c>
      <c r="D48" s="1">
        <f>Table1[[#This Row],[TX Pdc (W)]]</f>
        <v>4.3777040584351106</v>
      </c>
      <c r="E48" s="1">
        <f>IF(ISNUMBER(Table1[[#This Row],[Array Aperture Size (cm2)]]),Table1[[#This Row],[Array Aperture Size (cm2)]],IF(Table1[[#This Row],[Antenna on (None, Chip, AiP, PCB)]]="Chip",Table1[[#This Row],[Chip Core Size - X (mm)]]*Table1[[#This Row],[Chip Core Size -Y (mm)]]/100*Table1[[#This Row],['# of IC per Tile]]*Table1[[#This Row],['# of Array Tile]],#N/A))</f>
        <v>9.1350000000000001E-2</v>
      </c>
      <c r="F48" s="1">
        <f t="shared" si="0"/>
        <v>0.19000000000000003</v>
      </c>
      <c r="G48" s="1">
        <f t="shared" si="1"/>
        <v>43.526485402587717</v>
      </c>
      <c r="L48" s="1" t="e">
        <f>IF(Table1[[#This Row],[Frequency (GHz)]]&lt;20,Plot_Data_Power!F48,#N/A)</f>
        <v>#N/A</v>
      </c>
      <c r="M48" s="1" t="e">
        <f>IF(AND(Table1[[#This Row],[Frequency (GHz)]]&gt;=20,Table1[[#This Row],[Frequency (GHz)]]&lt;50),Plot_Data_Power!F48,#N/A)</f>
        <v>#N/A</v>
      </c>
      <c r="N48" s="1" t="e">
        <f>IF(AND(Table1[[#This Row],[Frequency (GHz)]]&gt;=50,Table1[[#This Row],[Frequency (GHz)]]&lt;75),Plot_Data_Power!F48,#N/A)</f>
        <v>#N/A</v>
      </c>
      <c r="O48" s="1" t="e">
        <f>IF(AND(Table1[[#This Row],[Frequency (GHz)]]&gt;=75,Table1[[#This Row],[Frequency (GHz)]]&lt;110),Plot_Data_Power!F48,#N/A)</f>
        <v>#N/A</v>
      </c>
      <c r="P48" s="1" t="e">
        <f>IF(AND(Table1[[#This Row],[Frequency (GHz)]]&gt;=110,Table1[[#This Row],[Frequency (GHz)]]&lt;170),Plot_Data_Power!F48,#N/A)</f>
        <v>#N/A</v>
      </c>
      <c r="Q48" s="1" t="e">
        <f>IF(AND(Table1[[#This Row],[Frequency (GHz)]]&gt;=170,Table1[[#This Row],[Frequency (GHz)]]&lt;260),Plot_Data_Power!F48,#N/A)</f>
        <v>#N/A</v>
      </c>
      <c r="R48" s="1">
        <f>IF(Table1[[#This Row],[Frequency (GHz)]]&gt;=260,Plot_Data_Power!F48,#N/A)</f>
        <v>0.19000000000000003</v>
      </c>
      <c r="U48" s="1" t="e">
        <f>IF(Table1[[#This Row],[Frequency (GHz)]]&lt;20,Plot_Data_Power!G48,#N/A)</f>
        <v>#N/A</v>
      </c>
      <c r="V48" s="1" t="e">
        <f>IF(AND(Table1[[#This Row],[Frequency (GHz)]]&gt;=20,Table1[[#This Row],[Frequency (GHz)]]&lt;50),Plot_Data_Power!G48,#N/A)</f>
        <v>#N/A</v>
      </c>
      <c r="W48" s="1" t="e">
        <f>IF(AND(Table1[[#This Row],[Frequency (GHz)]]&gt;=50,Table1[[#This Row],[Frequency (GHz)]]&lt;75),Plot_Data_Power!G48,#N/A)</f>
        <v>#N/A</v>
      </c>
      <c r="X48" s="1" t="e">
        <f>IF(AND(Table1[[#This Row],[Frequency (GHz)]]&gt;=75,Table1[[#This Row],[Frequency (GHz)]]&lt;110),Plot_Data_Power!G48,#N/A)</f>
        <v>#N/A</v>
      </c>
      <c r="Y48" s="1" t="e">
        <f>IF(AND(Table1[[#This Row],[Frequency (GHz)]]&gt;=110,Table1[[#This Row],[Frequency (GHz)]]&lt;170),Plot_Data_Power!G48,#N/A)</f>
        <v>#N/A</v>
      </c>
      <c r="Z48" s="1" t="e">
        <f>IF(AND(Table1[[#This Row],[Frequency (GHz)]]&gt;=170,Table1[[#This Row],[Frequency (GHz)]]&lt;260),Plot_Data_Power!G48,#N/A)</f>
        <v>#N/A</v>
      </c>
      <c r="AA48" s="1">
        <f>IF(Table1[[#This Row],[Frequency (GHz)]]&gt;=260,Plot_Data_Power!G48,#N/A)</f>
        <v>43.526485402587717</v>
      </c>
      <c r="AD48" s="1" t="e">
        <f>IF(ISNUMBER(Table1[[#This Row],[Max Package Thermal Density (W/cm2)]]),Table1[[#This Row],[Max Package Thermal Density (W/cm2)]],#N/A)</f>
        <v>#N/A</v>
      </c>
      <c r="AE48" s="1" t="e">
        <f>IF(AND(ISNUMBER((Table1[[#This Row],[Max Package Thermal Density (W/cm2)]])),Table1[[#This Row],[Frequency (GHz)]]&lt;20),Table1[[#This Row],[Max Package Thermal Density (W/cm2)]],#N/A)</f>
        <v>#N/A</v>
      </c>
      <c r="AF48" s="1" t="e">
        <f>IF(AND(ISNUMBER(Table1[[#This Row],[Max Package Thermal Density (W/cm2)]]),Table1[[#This Row],[Frequency (GHz)]]&gt;=20,Table1[[#This Row],[Frequency (GHz)]]&lt;50),Table1[[#This Row],[Max Package Thermal Density (W/cm2)]],#N/A)</f>
        <v>#N/A</v>
      </c>
      <c r="AG48" s="1" t="e">
        <f>IF(AND(ISNUMBER(Table1[[#This Row],[Max Package Thermal Density (W/cm2)]]),Table1[[#This Row],[Frequency (GHz)]]&gt;=50,Table1[[#This Row],[Frequency (GHz)]]&lt;75),Table1[[#This Row],[Max Package Thermal Density (W/cm2)]],#N/A)</f>
        <v>#N/A</v>
      </c>
      <c r="AH48" s="1" t="e">
        <f>IF(AND(ISNUMBER(Table1[[#This Row],[Max Package Thermal Density (W/cm2)]]),Table1[[#This Row],[Frequency (GHz)]]&gt;=75,Table1[[#This Row],[Frequency (GHz)]]&lt;110),Table1[[#This Row],[Max Package Thermal Density (W/cm2)]],#N/A)</f>
        <v>#N/A</v>
      </c>
      <c r="AI48" s="1" t="e">
        <f>IF(AND(ISNUMBER(Table1[[#This Row],[Max Package Thermal Density (W/cm2)]]),Table1[[#This Row],[Frequency (GHz)]]&gt;=110,Table1[[#This Row],[Frequency (GHz)]]&lt;170),Table1[[#This Row],[Max Package Thermal Density (W/cm2)]],#N/A)</f>
        <v>#N/A</v>
      </c>
      <c r="AJ48" s="1" t="e">
        <f>IF(AND(ISNUMBER(Table1[[#This Row],[Max Package Thermal Density (W/cm2)]]),Table1[[#This Row],[Frequency (GHz)]]&gt;=170,Table1[[#This Row],[Frequency (GHz)]]&lt;260),Table1[[#This Row],[Max Package Thermal Density (W/cm2)]],#N/A)</f>
        <v>#N/A</v>
      </c>
      <c r="AK48" s="1" t="e">
        <f>IF(AND(ISNUMBER(Table1[[#This Row],[Max Package Thermal Density (W/cm2)]]),Table1[[#This Row],[Frequency (GHz)]]&gt;=260),Table1[[#This Row],[Max Package Thermal Density (W/cm2)]],#N/A)</f>
        <v>#N/A</v>
      </c>
      <c r="AN48" s="1">
        <f>IF(ISNUMBER(Table1[[#This Row],[Max Chip Thermal Density (W/cm2)]]),Table1[[#This Row],[Max Chip Thermal Density (W/cm2)]],#N/A)</f>
        <v>34.743683003453249</v>
      </c>
      <c r="AO48" s="1" t="e">
        <f>IF(AND(ISNUMBER((Table1[[#This Row],[Max Chip Thermal Density (W/cm2)]])),Table1[[#This Row],[Frequency (GHz)]]&lt;20),Table1[[#This Row],[Max Chip Thermal Density (W/cm2)]],#N/A)</f>
        <v>#N/A</v>
      </c>
      <c r="AP48" s="1" t="e">
        <f>IF(AND(ISNUMBER(Table1[[#This Row],[Max Chip Thermal Density (W/cm2)]]),Table1[[#This Row],[Frequency (GHz)]]&gt;=20,Table1[[#This Row],[Frequency (GHz)]]&lt;50),Table1[[#This Row],[Max Chip Thermal Density (W/cm2)]],#N/A)</f>
        <v>#N/A</v>
      </c>
      <c r="AQ48" s="1" t="e">
        <f>IF(AND(ISNUMBER(Table1[[#This Row],[Max Chip Thermal Density (W/cm2)]]),Table1[[#This Row],[Frequency (GHz)]]&gt;=50,Table1[[#This Row],[Frequency (GHz)]]&lt;75),Table1[[#This Row],[Max Chip Thermal Density (W/cm2)]],#N/A)</f>
        <v>#N/A</v>
      </c>
      <c r="AR48" s="1" t="e">
        <f>IF(AND(ISNUMBER(Table1[[#This Row],[Max Chip Thermal Density (W/cm2)]]),Table1[[#This Row],[Frequency (GHz)]]&gt;=75,Table1[[#This Row],[Frequency (GHz)]]&lt;110),Table1[[#This Row],[Max Chip Thermal Density (W/cm2)]],#N/A)</f>
        <v>#N/A</v>
      </c>
      <c r="AS48" s="1" t="e">
        <f>IF(AND(ISNUMBER(Table1[[#This Row],[Max Chip Thermal Density (W/cm2)]]),Table1[[#This Row],[Frequency (GHz)]]&gt;=110,Table1[[#This Row],[Frequency (GHz)]]&lt;170),Table1[[#This Row],[Max Chip Thermal Density (W/cm2)]],#N/A)</f>
        <v>#N/A</v>
      </c>
      <c r="AT48" s="1" t="e">
        <f>IF(AND(ISNUMBER(Table1[[#This Row],[Max Chip Thermal Density (W/cm2)]]),Table1[[#This Row],[Frequency (GHz)]]&gt;=170,Table1[[#This Row],[Frequency (GHz)]]&lt;260),Table1[[#This Row],[Max Chip Thermal Density (W/cm2)]],#N/A)</f>
        <v>#N/A</v>
      </c>
      <c r="AU48" s="1">
        <f>IF(AND(ISNUMBER(Table1[[#This Row],[Max Chip Thermal Density (W/cm2)]]),Table1[[#This Row],[Frequency (GHz)]]&gt;=260),Table1[[#This Row],[Max Chip Thermal Density (W/cm2)]],#N/A)</f>
        <v>34.743683003453249</v>
      </c>
    </row>
    <row r="49" spans="1:47" x14ac:dyDescent="0.2">
      <c r="A49" s="25">
        <f>IF(ISNUMBER(Table1[[#This Row],[Total Pout/Prad (dBm)]]),Table1[[#This Row],[Total Pout/Prad (dBm)]],#N/A)</f>
        <v>0.1</v>
      </c>
      <c r="B49" s="1">
        <f>IF(ISNUMBER(Table1[[#This Row],[Total Pout/Prad (dBm)]]),Table1[[#This Row],[Total '# of TX Elements]],#N/A)</f>
        <v>36</v>
      </c>
      <c r="C49" s="1">
        <f>IF(ISNUMBER(Table1[[#This Row],[TX EIRP (dBm)]]),Table1[[#This Row],[TX EIRP (dBm)]],#N/A)</f>
        <v>24.1</v>
      </c>
      <c r="D49" s="1">
        <f>Table1[[#This Row],[TX Pdc (W)]]</f>
        <v>1.278</v>
      </c>
      <c r="E49" s="1">
        <f>IF(ISNUMBER(Table1[[#This Row],[Array Aperture Size (cm2)]]),Table1[[#This Row],[Array Aperture Size (cm2)]],IF(Table1[[#This Row],[Antenna on (None, Chip, AiP, PCB)]]="Chip",Table1[[#This Row],[Chip Core Size - X (mm)]]*Table1[[#This Row],[Chip Core Size -Y (mm)]]/100*Table1[[#This Row],['# of IC per Tile]]*Table1[[#This Row],['# of Array Tile]],#N/A))</f>
        <v>6.8000000000000005E-3</v>
      </c>
      <c r="F49" s="1">
        <f t="shared" si="0"/>
        <v>8.006987420037201E-2</v>
      </c>
      <c r="G49" s="1">
        <f t="shared" si="1"/>
        <v>20.112643057659358</v>
      </c>
      <c r="L49" s="1" t="e">
        <f>IF(Table1[[#This Row],[Frequency (GHz)]]&lt;20,Plot_Data_Power!F49,#N/A)</f>
        <v>#N/A</v>
      </c>
      <c r="M49" s="1" t="e">
        <f>IF(AND(Table1[[#This Row],[Frequency (GHz)]]&gt;=20,Table1[[#This Row],[Frequency (GHz)]]&lt;50),Plot_Data_Power!F49,#N/A)</f>
        <v>#N/A</v>
      </c>
      <c r="N49" s="1" t="e">
        <f>IF(AND(Table1[[#This Row],[Frequency (GHz)]]&gt;=50,Table1[[#This Row],[Frequency (GHz)]]&lt;75),Plot_Data_Power!F49,#N/A)</f>
        <v>#N/A</v>
      </c>
      <c r="O49" s="1" t="e">
        <f>IF(AND(Table1[[#This Row],[Frequency (GHz)]]&gt;=75,Table1[[#This Row],[Frequency (GHz)]]&lt;110),Plot_Data_Power!F49,#N/A)</f>
        <v>#N/A</v>
      </c>
      <c r="P49" s="1" t="e">
        <f>IF(AND(Table1[[#This Row],[Frequency (GHz)]]&gt;=110,Table1[[#This Row],[Frequency (GHz)]]&lt;170),Plot_Data_Power!F49,#N/A)</f>
        <v>#N/A</v>
      </c>
      <c r="Q49" s="1" t="e">
        <f>IF(AND(Table1[[#This Row],[Frequency (GHz)]]&gt;=170,Table1[[#This Row],[Frequency (GHz)]]&lt;260),Plot_Data_Power!F49,#N/A)</f>
        <v>#N/A</v>
      </c>
      <c r="R49" s="1">
        <f>IF(Table1[[#This Row],[Frequency (GHz)]]&gt;=260,Plot_Data_Power!F49,#N/A)</f>
        <v>8.006987420037201E-2</v>
      </c>
      <c r="U49" s="1" t="e">
        <f>IF(Table1[[#This Row],[Frequency (GHz)]]&lt;20,Plot_Data_Power!G49,#N/A)</f>
        <v>#N/A</v>
      </c>
      <c r="V49" s="1" t="e">
        <f>IF(AND(Table1[[#This Row],[Frequency (GHz)]]&gt;=20,Table1[[#This Row],[Frequency (GHz)]]&lt;50),Plot_Data_Power!G49,#N/A)</f>
        <v>#N/A</v>
      </c>
      <c r="W49" s="1" t="e">
        <f>IF(AND(Table1[[#This Row],[Frequency (GHz)]]&gt;=50,Table1[[#This Row],[Frequency (GHz)]]&lt;75),Plot_Data_Power!G49,#N/A)</f>
        <v>#N/A</v>
      </c>
      <c r="X49" s="1" t="e">
        <f>IF(AND(Table1[[#This Row],[Frequency (GHz)]]&gt;=75,Table1[[#This Row],[Frequency (GHz)]]&lt;110),Plot_Data_Power!G49,#N/A)</f>
        <v>#N/A</v>
      </c>
      <c r="Y49" s="1" t="e">
        <f>IF(AND(Table1[[#This Row],[Frequency (GHz)]]&gt;=110,Table1[[#This Row],[Frequency (GHz)]]&lt;170),Plot_Data_Power!G49,#N/A)</f>
        <v>#N/A</v>
      </c>
      <c r="Z49" s="1" t="e">
        <f>IF(AND(Table1[[#This Row],[Frequency (GHz)]]&gt;=170,Table1[[#This Row],[Frequency (GHz)]]&lt;260),Plot_Data_Power!G49,#N/A)</f>
        <v>#N/A</v>
      </c>
      <c r="AA49" s="1">
        <f>IF(Table1[[#This Row],[Frequency (GHz)]]&gt;=260,Plot_Data_Power!G49,#N/A)</f>
        <v>20.112643057659358</v>
      </c>
      <c r="AD49" s="1" t="e">
        <f>IF(ISNUMBER(Table1[[#This Row],[Max Package Thermal Density (W/cm2)]]),Table1[[#This Row],[Max Package Thermal Density (W/cm2)]],#N/A)</f>
        <v>#N/A</v>
      </c>
      <c r="AE49" s="1" t="e">
        <f>IF(AND(ISNUMBER((Table1[[#This Row],[Max Package Thermal Density (W/cm2)]])),Table1[[#This Row],[Frequency (GHz)]]&lt;20),Table1[[#This Row],[Max Package Thermal Density (W/cm2)]],#N/A)</f>
        <v>#N/A</v>
      </c>
      <c r="AF49" s="1" t="e">
        <f>IF(AND(ISNUMBER(Table1[[#This Row],[Max Package Thermal Density (W/cm2)]]),Table1[[#This Row],[Frequency (GHz)]]&gt;=20,Table1[[#This Row],[Frequency (GHz)]]&lt;50),Table1[[#This Row],[Max Package Thermal Density (W/cm2)]],#N/A)</f>
        <v>#N/A</v>
      </c>
      <c r="AG49" s="1" t="e">
        <f>IF(AND(ISNUMBER(Table1[[#This Row],[Max Package Thermal Density (W/cm2)]]),Table1[[#This Row],[Frequency (GHz)]]&gt;=50,Table1[[#This Row],[Frequency (GHz)]]&lt;75),Table1[[#This Row],[Max Package Thermal Density (W/cm2)]],#N/A)</f>
        <v>#N/A</v>
      </c>
      <c r="AH49" s="1" t="e">
        <f>IF(AND(ISNUMBER(Table1[[#This Row],[Max Package Thermal Density (W/cm2)]]),Table1[[#This Row],[Frequency (GHz)]]&gt;=75,Table1[[#This Row],[Frequency (GHz)]]&lt;110),Table1[[#This Row],[Max Package Thermal Density (W/cm2)]],#N/A)</f>
        <v>#N/A</v>
      </c>
      <c r="AI49" s="1" t="e">
        <f>IF(AND(ISNUMBER(Table1[[#This Row],[Max Package Thermal Density (W/cm2)]]),Table1[[#This Row],[Frequency (GHz)]]&gt;=110,Table1[[#This Row],[Frequency (GHz)]]&lt;170),Table1[[#This Row],[Max Package Thermal Density (W/cm2)]],#N/A)</f>
        <v>#N/A</v>
      </c>
      <c r="AJ49" s="1" t="e">
        <f>IF(AND(ISNUMBER(Table1[[#This Row],[Max Package Thermal Density (W/cm2)]]),Table1[[#This Row],[Frequency (GHz)]]&gt;=170,Table1[[#This Row],[Frequency (GHz)]]&lt;260),Table1[[#This Row],[Max Package Thermal Density (W/cm2)]],#N/A)</f>
        <v>#N/A</v>
      </c>
      <c r="AK49" s="1" t="e">
        <f>IF(AND(ISNUMBER(Table1[[#This Row],[Max Package Thermal Density (W/cm2)]]),Table1[[#This Row],[Frequency (GHz)]]&gt;=260),Table1[[#This Row],[Max Package Thermal Density (W/cm2)]],#N/A)</f>
        <v>#N/A</v>
      </c>
      <c r="AN49" s="1">
        <f>IF(ISNUMBER(Table1[[#This Row],[Max Chip Thermal Density (W/cm2)]]),Table1[[#This Row],[Max Chip Thermal Density (W/cm2)]],#N/A)</f>
        <v>187.94117647058823</v>
      </c>
      <c r="AO49" s="1" t="e">
        <f>IF(AND(ISNUMBER((Table1[[#This Row],[Max Chip Thermal Density (W/cm2)]])),Table1[[#This Row],[Frequency (GHz)]]&lt;20),Table1[[#This Row],[Max Chip Thermal Density (W/cm2)]],#N/A)</f>
        <v>#N/A</v>
      </c>
      <c r="AP49" s="1" t="e">
        <f>IF(AND(ISNUMBER(Table1[[#This Row],[Max Chip Thermal Density (W/cm2)]]),Table1[[#This Row],[Frequency (GHz)]]&gt;=20,Table1[[#This Row],[Frequency (GHz)]]&lt;50),Table1[[#This Row],[Max Chip Thermal Density (W/cm2)]],#N/A)</f>
        <v>#N/A</v>
      </c>
      <c r="AQ49" s="1" t="e">
        <f>IF(AND(ISNUMBER(Table1[[#This Row],[Max Chip Thermal Density (W/cm2)]]),Table1[[#This Row],[Frequency (GHz)]]&gt;=50,Table1[[#This Row],[Frequency (GHz)]]&lt;75),Table1[[#This Row],[Max Chip Thermal Density (W/cm2)]],#N/A)</f>
        <v>#N/A</v>
      </c>
      <c r="AR49" s="1" t="e">
        <f>IF(AND(ISNUMBER(Table1[[#This Row],[Max Chip Thermal Density (W/cm2)]]),Table1[[#This Row],[Frequency (GHz)]]&gt;=75,Table1[[#This Row],[Frequency (GHz)]]&lt;110),Table1[[#This Row],[Max Chip Thermal Density (W/cm2)]],#N/A)</f>
        <v>#N/A</v>
      </c>
      <c r="AS49" s="1" t="e">
        <f>IF(AND(ISNUMBER(Table1[[#This Row],[Max Chip Thermal Density (W/cm2)]]),Table1[[#This Row],[Frequency (GHz)]]&gt;=110,Table1[[#This Row],[Frequency (GHz)]]&lt;170),Table1[[#This Row],[Max Chip Thermal Density (W/cm2)]],#N/A)</f>
        <v>#N/A</v>
      </c>
      <c r="AT49" s="1" t="e">
        <f>IF(AND(ISNUMBER(Table1[[#This Row],[Max Chip Thermal Density (W/cm2)]]),Table1[[#This Row],[Frequency (GHz)]]&gt;=170,Table1[[#This Row],[Frequency (GHz)]]&lt;260),Table1[[#This Row],[Max Chip Thermal Density (W/cm2)]],#N/A)</f>
        <v>#N/A</v>
      </c>
      <c r="AU49" s="1">
        <f>IF(AND(ISNUMBER(Table1[[#This Row],[Max Chip Thermal Density (W/cm2)]]),Table1[[#This Row],[Frequency (GHz)]]&gt;=260),Table1[[#This Row],[Max Chip Thermal Density (W/cm2)]],#N/A)</f>
        <v>187.94117647058823</v>
      </c>
    </row>
    <row r="50" spans="1:47" x14ac:dyDescent="0.2">
      <c r="A50" s="25">
        <f>IF(ISNUMBER(Table1[[#This Row],[Total Pout/Prad (dBm)]]),Table1[[#This Row],[Total Pout/Prad (dBm)]],#N/A)</f>
        <v>1.541199826559247</v>
      </c>
      <c r="B50" s="1">
        <f>IF(ISNUMBER(Table1[[#This Row],[Total Pout/Prad (dBm)]]),Table1[[#This Row],[Total '# of TX Elements]],#N/A)</f>
        <v>16</v>
      </c>
      <c r="C50" s="1">
        <f>IF(ISNUMBER(Table1[[#This Row],[TX EIRP (dBm)]]),Table1[[#This Row],[TX EIRP (dBm)]],#N/A)</f>
        <v>14</v>
      </c>
      <c r="D50" s="1">
        <f>Table1[[#This Row],[TX Pdc (W)]]</f>
        <v>1.45</v>
      </c>
      <c r="E50" s="1">
        <f>IF(ISNUMBER(Table1[[#This Row],[Array Aperture Size (cm2)]]),Table1[[#This Row],[Array Aperture Size (cm2)]],IF(Table1[[#This Row],[Antenna on (None, Chip, AiP, PCB)]]="Chip",Table1[[#This Row],[Chip Core Size - X (mm)]]*Table1[[#This Row],[Chip Core Size -Y (mm)]]/100*Table1[[#This Row],['# of IC per Tile]]*Table1[[#This Row],['# of Array Tile]],#N/A))</f>
        <v>2.1170000000000001E-2</v>
      </c>
      <c r="F50" s="1">
        <f t="shared" si="0"/>
        <v>9.8344931104413294E-2</v>
      </c>
      <c r="G50" s="1">
        <f t="shared" si="1"/>
        <v>1.7323354700066067</v>
      </c>
      <c r="L50" s="1" t="e">
        <f>IF(Table1[[#This Row],[Frequency (GHz)]]&lt;20,Plot_Data_Power!F50,#N/A)</f>
        <v>#N/A</v>
      </c>
      <c r="M50" s="1" t="e">
        <f>IF(AND(Table1[[#This Row],[Frequency (GHz)]]&gt;=20,Table1[[#This Row],[Frequency (GHz)]]&lt;50),Plot_Data_Power!F50,#N/A)</f>
        <v>#N/A</v>
      </c>
      <c r="N50" s="1" t="e">
        <f>IF(AND(Table1[[#This Row],[Frequency (GHz)]]&gt;=50,Table1[[#This Row],[Frequency (GHz)]]&lt;75),Plot_Data_Power!F50,#N/A)</f>
        <v>#N/A</v>
      </c>
      <c r="O50" s="1" t="e">
        <f>IF(AND(Table1[[#This Row],[Frequency (GHz)]]&gt;=75,Table1[[#This Row],[Frequency (GHz)]]&lt;110),Plot_Data_Power!F50,#N/A)</f>
        <v>#N/A</v>
      </c>
      <c r="P50" s="1" t="e">
        <f>IF(AND(Table1[[#This Row],[Frequency (GHz)]]&gt;=110,Table1[[#This Row],[Frequency (GHz)]]&lt;170),Plot_Data_Power!F50,#N/A)</f>
        <v>#N/A</v>
      </c>
      <c r="Q50" s="1" t="e">
        <f>IF(AND(Table1[[#This Row],[Frequency (GHz)]]&gt;=170,Table1[[#This Row],[Frequency (GHz)]]&lt;260),Plot_Data_Power!F50,#N/A)</f>
        <v>#N/A</v>
      </c>
      <c r="R50" s="1">
        <f>IF(Table1[[#This Row],[Frequency (GHz)]]&gt;=260,Plot_Data_Power!F50,#N/A)</f>
        <v>9.8344931104413294E-2</v>
      </c>
      <c r="U50" s="1" t="e">
        <f>IF(Table1[[#This Row],[Frequency (GHz)]]&lt;20,Plot_Data_Power!G50,#N/A)</f>
        <v>#N/A</v>
      </c>
      <c r="V50" s="1" t="e">
        <f>IF(AND(Table1[[#This Row],[Frequency (GHz)]]&gt;=20,Table1[[#This Row],[Frequency (GHz)]]&lt;50),Plot_Data_Power!G50,#N/A)</f>
        <v>#N/A</v>
      </c>
      <c r="W50" s="1" t="e">
        <f>IF(AND(Table1[[#This Row],[Frequency (GHz)]]&gt;=50,Table1[[#This Row],[Frequency (GHz)]]&lt;75),Plot_Data_Power!G50,#N/A)</f>
        <v>#N/A</v>
      </c>
      <c r="X50" s="1" t="e">
        <f>IF(AND(Table1[[#This Row],[Frequency (GHz)]]&gt;=75,Table1[[#This Row],[Frequency (GHz)]]&lt;110),Plot_Data_Power!G50,#N/A)</f>
        <v>#N/A</v>
      </c>
      <c r="Y50" s="1" t="e">
        <f>IF(AND(Table1[[#This Row],[Frequency (GHz)]]&gt;=110,Table1[[#This Row],[Frequency (GHz)]]&lt;170),Plot_Data_Power!G50,#N/A)</f>
        <v>#N/A</v>
      </c>
      <c r="Z50" s="1" t="e">
        <f>IF(AND(Table1[[#This Row],[Frequency (GHz)]]&gt;=170,Table1[[#This Row],[Frequency (GHz)]]&lt;260),Plot_Data_Power!G50,#N/A)</f>
        <v>#N/A</v>
      </c>
      <c r="AA50" s="1">
        <f>IF(Table1[[#This Row],[Frequency (GHz)]]&gt;=260,Plot_Data_Power!G50,#N/A)</f>
        <v>1.7323354700066067</v>
      </c>
      <c r="AD50" s="1" t="e">
        <f>IF(ISNUMBER(Table1[[#This Row],[Max Package Thermal Density (W/cm2)]]),Table1[[#This Row],[Max Package Thermal Density (W/cm2)]],#N/A)</f>
        <v>#N/A</v>
      </c>
      <c r="AE50" s="1" t="e">
        <f>IF(AND(ISNUMBER((Table1[[#This Row],[Max Package Thermal Density (W/cm2)]])),Table1[[#This Row],[Frequency (GHz)]]&lt;20),Table1[[#This Row],[Max Package Thermal Density (W/cm2)]],#N/A)</f>
        <v>#N/A</v>
      </c>
      <c r="AF50" s="1" t="e">
        <f>IF(AND(ISNUMBER(Table1[[#This Row],[Max Package Thermal Density (W/cm2)]]),Table1[[#This Row],[Frequency (GHz)]]&gt;=20,Table1[[#This Row],[Frequency (GHz)]]&lt;50),Table1[[#This Row],[Max Package Thermal Density (W/cm2)]],#N/A)</f>
        <v>#N/A</v>
      </c>
      <c r="AG50" s="1" t="e">
        <f>IF(AND(ISNUMBER(Table1[[#This Row],[Max Package Thermal Density (W/cm2)]]),Table1[[#This Row],[Frequency (GHz)]]&gt;=50,Table1[[#This Row],[Frequency (GHz)]]&lt;75),Table1[[#This Row],[Max Package Thermal Density (W/cm2)]],#N/A)</f>
        <v>#N/A</v>
      </c>
      <c r="AH50" s="1" t="e">
        <f>IF(AND(ISNUMBER(Table1[[#This Row],[Max Package Thermal Density (W/cm2)]]),Table1[[#This Row],[Frequency (GHz)]]&gt;=75,Table1[[#This Row],[Frequency (GHz)]]&lt;110),Table1[[#This Row],[Max Package Thermal Density (W/cm2)]],#N/A)</f>
        <v>#N/A</v>
      </c>
      <c r="AI50" s="1" t="e">
        <f>IF(AND(ISNUMBER(Table1[[#This Row],[Max Package Thermal Density (W/cm2)]]),Table1[[#This Row],[Frequency (GHz)]]&gt;=110,Table1[[#This Row],[Frequency (GHz)]]&lt;170),Table1[[#This Row],[Max Package Thermal Density (W/cm2)]],#N/A)</f>
        <v>#N/A</v>
      </c>
      <c r="AJ50" s="1" t="e">
        <f>IF(AND(ISNUMBER(Table1[[#This Row],[Max Package Thermal Density (W/cm2)]]),Table1[[#This Row],[Frequency (GHz)]]&gt;=170,Table1[[#This Row],[Frequency (GHz)]]&lt;260),Table1[[#This Row],[Max Package Thermal Density (W/cm2)]],#N/A)</f>
        <v>#N/A</v>
      </c>
      <c r="AK50" s="1" t="e">
        <f>IF(AND(ISNUMBER(Table1[[#This Row],[Max Package Thermal Density (W/cm2)]]),Table1[[#This Row],[Frequency (GHz)]]&gt;=260),Table1[[#This Row],[Max Package Thermal Density (W/cm2)]],#N/A)</f>
        <v>#N/A</v>
      </c>
      <c r="AN50" s="1">
        <f>IF(ISNUMBER(Table1[[#This Row],[Max Chip Thermal Density (W/cm2)]]),Table1[[#This Row],[Max Chip Thermal Density (W/cm2)]],#N/A)</f>
        <v>35.024154589371982</v>
      </c>
      <c r="AO50" s="1" t="e">
        <f>IF(AND(ISNUMBER((Table1[[#This Row],[Max Chip Thermal Density (W/cm2)]])),Table1[[#This Row],[Frequency (GHz)]]&lt;20),Table1[[#This Row],[Max Chip Thermal Density (W/cm2)]],#N/A)</f>
        <v>#N/A</v>
      </c>
      <c r="AP50" s="1" t="e">
        <f>IF(AND(ISNUMBER(Table1[[#This Row],[Max Chip Thermal Density (W/cm2)]]),Table1[[#This Row],[Frequency (GHz)]]&gt;=20,Table1[[#This Row],[Frequency (GHz)]]&lt;50),Table1[[#This Row],[Max Chip Thermal Density (W/cm2)]],#N/A)</f>
        <v>#N/A</v>
      </c>
      <c r="AQ50" s="1" t="e">
        <f>IF(AND(ISNUMBER(Table1[[#This Row],[Max Chip Thermal Density (W/cm2)]]),Table1[[#This Row],[Frequency (GHz)]]&gt;=50,Table1[[#This Row],[Frequency (GHz)]]&lt;75),Table1[[#This Row],[Max Chip Thermal Density (W/cm2)]],#N/A)</f>
        <v>#N/A</v>
      </c>
      <c r="AR50" s="1" t="e">
        <f>IF(AND(ISNUMBER(Table1[[#This Row],[Max Chip Thermal Density (W/cm2)]]),Table1[[#This Row],[Frequency (GHz)]]&gt;=75,Table1[[#This Row],[Frequency (GHz)]]&lt;110),Table1[[#This Row],[Max Chip Thermal Density (W/cm2)]],#N/A)</f>
        <v>#N/A</v>
      </c>
      <c r="AS50" s="1" t="e">
        <f>IF(AND(ISNUMBER(Table1[[#This Row],[Max Chip Thermal Density (W/cm2)]]),Table1[[#This Row],[Frequency (GHz)]]&gt;=110,Table1[[#This Row],[Frequency (GHz)]]&lt;170),Table1[[#This Row],[Max Chip Thermal Density (W/cm2)]],#N/A)</f>
        <v>#N/A</v>
      </c>
      <c r="AT50" s="1" t="e">
        <f>IF(AND(ISNUMBER(Table1[[#This Row],[Max Chip Thermal Density (W/cm2)]]),Table1[[#This Row],[Frequency (GHz)]]&gt;=170,Table1[[#This Row],[Frequency (GHz)]]&lt;260),Table1[[#This Row],[Max Chip Thermal Density (W/cm2)]],#N/A)</f>
        <v>#N/A</v>
      </c>
      <c r="AU50" s="1">
        <f>IF(AND(ISNUMBER(Table1[[#This Row],[Max Chip Thermal Density (W/cm2)]]),Table1[[#This Row],[Frequency (GHz)]]&gt;=260),Table1[[#This Row],[Max Chip Thermal Density (W/cm2)]],#N/A)</f>
        <v>35.024154589371982</v>
      </c>
    </row>
    <row r="51" spans="1:47" x14ac:dyDescent="0.2">
      <c r="A51" s="25" t="e">
        <f>IF(ISNUMBER(Table1[[#This Row],[Total Pout/Prad (dBm)]]),Table1[[#This Row],[Total Pout/Prad (dBm)]],#N/A)</f>
        <v>#N/A</v>
      </c>
      <c r="B51" s="1" t="e">
        <f>IF(ISNUMBER(Table1[[#This Row],[Total Pout/Prad (dBm)]]),Table1[[#This Row],[Total '# of TX Elements]],#N/A)</f>
        <v>#N/A</v>
      </c>
      <c r="C51" s="1" t="e">
        <f>IF(ISNUMBER(Table1[[#This Row],[TX EIRP (dBm)]]),Table1[[#This Row],[TX EIRP (dBm)]],#N/A)</f>
        <v>#N/A</v>
      </c>
      <c r="D51" s="1" t="str">
        <f>Table1[[#This Row],[TX Pdc (W)]]</f>
        <v>N/A</v>
      </c>
      <c r="E51" s="1">
        <f>IF(ISNUMBER(Table1[[#This Row],[Array Aperture Size (cm2)]]),Table1[[#This Row],[Array Aperture Size (cm2)]],IF(Table1[[#This Row],[Antenna on (None, Chip, AiP, PCB)]]="Chip",Table1[[#This Row],[Chip Core Size - X (mm)]]*Table1[[#This Row],[Chip Core Size -Y (mm)]]/100*Table1[[#This Row],['# of IC per Tile]]*Table1[[#This Row],['# of Array Tile]],#N/A))</f>
        <v>1.1165000000000001E-2</v>
      </c>
      <c r="F51" s="1" t="e">
        <f t="shared" si="0"/>
        <v>#N/A</v>
      </c>
      <c r="G51" s="1" t="e">
        <f t="shared" si="1"/>
        <v>#N/A</v>
      </c>
      <c r="L51" s="1" t="e">
        <f>IF(Table1[[#This Row],[Frequency (GHz)]]&lt;20,Plot_Data_Power!F51,#N/A)</f>
        <v>#N/A</v>
      </c>
      <c r="M51" s="1" t="e">
        <f>IF(AND(Table1[[#This Row],[Frequency (GHz)]]&gt;=20,Table1[[#This Row],[Frequency (GHz)]]&lt;50),Plot_Data_Power!F51,#N/A)</f>
        <v>#N/A</v>
      </c>
      <c r="N51" s="1" t="e">
        <f>IF(AND(Table1[[#This Row],[Frequency (GHz)]]&gt;=50,Table1[[#This Row],[Frequency (GHz)]]&lt;75),Plot_Data_Power!F51,#N/A)</f>
        <v>#N/A</v>
      </c>
      <c r="O51" s="1" t="e">
        <f>IF(AND(Table1[[#This Row],[Frequency (GHz)]]&gt;=75,Table1[[#This Row],[Frequency (GHz)]]&lt;110),Plot_Data_Power!F51,#N/A)</f>
        <v>#N/A</v>
      </c>
      <c r="P51" s="1" t="e">
        <f>IF(AND(Table1[[#This Row],[Frequency (GHz)]]&gt;=110,Table1[[#This Row],[Frequency (GHz)]]&lt;170),Plot_Data_Power!F51,#N/A)</f>
        <v>#N/A</v>
      </c>
      <c r="Q51" s="1" t="e">
        <f>IF(AND(Table1[[#This Row],[Frequency (GHz)]]&gt;=170,Table1[[#This Row],[Frequency (GHz)]]&lt;260),Plot_Data_Power!F51,#N/A)</f>
        <v>#N/A</v>
      </c>
      <c r="R51" s="1" t="e">
        <f>IF(Table1[[#This Row],[Frequency (GHz)]]&gt;=260,Plot_Data_Power!F51,#N/A)</f>
        <v>#N/A</v>
      </c>
      <c r="U51" s="1" t="e">
        <f>IF(Table1[[#This Row],[Frequency (GHz)]]&lt;20,Plot_Data_Power!G51,#N/A)</f>
        <v>#N/A</v>
      </c>
      <c r="V51" s="1" t="e">
        <f>IF(AND(Table1[[#This Row],[Frequency (GHz)]]&gt;=20,Table1[[#This Row],[Frequency (GHz)]]&lt;50),Plot_Data_Power!G51,#N/A)</f>
        <v>#N/A</v>
      </c>
      <c r="W51" s="1" t="e">
        <f>IF(AND(Table1[[#This Row],[Frequency (GHz)]]&gt;=50,Table1[[#This Row],[Frequency (GHz)]]&lt;75),Plot_Data_Power!G51,#N/A)</f>
        <v>#N/A</v>
      </c>
      <c r="X51" s="1" t="e">
        <f>IF(AND(Table1[[#This Row],[Frequency (GHz)]]&gt;=75,Table1[[#This Row],[Frequency (GHz)]]&lt;110),Plot_Data_Power!G51,#N/A)</f>
        <v>#N/A</v>
      </c>
      <c r="Y51" s="1" t="e">
        <f>IF(AND(Table1[[#This Row],[Frequency (GHz)]]&gt;=110,Table1[[#This Row],[Frequency (GHz)]]&lt;170),Plot_Data_Power!G51,#N/A)</f>
        <v>#N/A</v>
      </c>
      <c r="Z51" s="1" t="e">
        <f>IF(AND(Table1[[#This Row],[Frequency (GHz)]]&gt;=170,Table1[[#This Row],[Frequency (GHz)]]&lt;260),Plot_Data_Power!G51,#N/A)</f>
        <v>#N/A</v>
      </c>
      <c r="AA51" s="1" t="e">
        <f>IF(Table1[[#This Row],[Frequency (GHz)]]&gt;=260,Plot_Data_Power!G51,#N/A)</f>
        <v>#N/A</v>
      </c>
      <c r="AD51" s="1" t="e">
        <f>IF(ISNUMBER(Table1[[#This Row],[Max Package Thermal Density (W/cm2)]]),Table1[[#This Row],[Max Package Thermal Density (W/cm2)]],#N/A)</f>
        <v>#N/A</v>
      </c>
      <c r="AE51" s="1" t="e">
        <f>IF(AND(ISNUMBER((Table1[[#This Row],[Max Package Thermal Density (W/cm2)]])),Table1[[#This Row],[Frequency (GHz)]]&lt;20),Table1[[#This Row],[Max Package Thermal Density (W/cm2)]],#N/A)</f>
        <v>#N/A</v>
      </c>
      <c r="AF51" s="1" t="e">
        <f>IF(AND(ISNUMBER(Table1[[#This Row],[Max Package Thermal Density (W/cm2)]]),Table1[[#This Row],[Frequency (GHz)]]&gt;=20,Table1[[#This Row],[Frequency (GHz)]]&lt;50),Table1[[#This Row],[Max Package Thermal Density (W/cm2)]],#N/A)</f>
        <v>#N/A</v>
      </c>
      <c r="AG51" s="1" t="e">
        <f>IF(AND(ISNUMBER(Table1[[#This Row],[Max Package Thermal Density (W/cm2)]]),Table1[[#This Row],[Frequency (GHz)]]&gt;=50,Table1[[#This Row],[Frequency (GHz)]]&lt;75),Table1[[#This Row],[Max Package Thermal Density (W/cm2)]],#N/A)</f>
        <v>#N/A</v>
      </c>
      <c r="AH51" s="1" t="e">
        <f>IF(AND(ISNUMBER(Table1[[#This Row],[Max Package Thermal Density (W/cm2)]]),Table1[[#This Row],[Frequency (GHz)]]&gt;=75,Table1[[#This Row],[Frequency (GHz)]]&lt;110),Table1[[#This Row],[Max Package Thermal Density (W/cm2)]],#N/A)</f>
        <v>#N/A</v>
      </c>
      <c r="AI51" s="1" t="e">
        <f>IF(AND(ISNUMBER(Table1[[#This Row],[Max Package Thermal Density (W/cm2)]]),Table1[[#This Row],[Frequency (GHz)]]&gt;=110,Table1[[#This Row],[Frequency (GHz)]]&lt;170),Table1[[#This Row],[Max Package Thermal Density (W/cm2)]],#N/A)</f>
        <v>#N/A</v>
      </c>
      <c r="AJ51" s="1" t="e">
        <f>IF(AND(ISNUMBER(Table1[[#This Row],[Max Package Thermal Density (W/cm2)]]),Table1[[#This Row],[Frequency (GHz)]]&gt;=170,Table1[[#This Row],[Frequency (GHz)]]&lt;260),Table1[[#This Row],[Max Package Thermal Density (W/cm2)]],#N/A)</f>
        <v>#N/A</v>
      </c>
      <c r="AK51" s="1" t="e">
        <f>IF(AND(ISNUMBER(Table1[[#This Row],[Max Package Thermal Density (W/cm2)]]),Table1[[#This Row],[Frequency (GHz)]]&gt;=260),Table1[[#This Row],[Max Package Thermal Density (W/cm2)]],#N/A)</f>
        <v>#N/A</v>
      </c>
      <c r="AN51" s="1">
        <f>IF(ISNUMBER(Table1[[#This Row],[Max Chip Thermal Density (W/cm2)]]),Table1[[#This Row],[Max Chip Thermal Density (W/cm2)]],#N/A)</f>
        <v>1.9550342130987293</v>
      </c>
      <c r="AO51" s="1" t="e">
        <f>IF(AND(ISNUMBER((Table1[[#This Row],[Max Chip Thermal Density (W/cm2)]])),Table1[[#This Row],[Frequency (GHz)]]&lt;20),Table1[[#This Row],[Max Chip Thermal Density (W/cm2)]],#N/A)</f>
        <v>#N/A</v>
      </c>
      <c r="AP51" s="1" t="e">
        <f>IF(AND(ISNUMBER(Table1[[#This Row],[Max Chip Thermal Density (W/cm2)]]),Table1[[#This Row],[Frequency (GHz)]]&gt;=20,Table1[[#This Row],[Frequency (GHz)]]&lt;50),Table1[[#This Row],[Max Chip Thermal Density (W/cm2)]],#N/A)</f>
        <v>#N/A</v>
      </c>
      <c r="AQ51" s="1" t="e">
        <f>IF(AND(ISNUMBER(Table1[[#This Row],[Max Chip Thermal Density (W/cm2)]]),Table1[[#This Row],[Frequency (GHz)]]&gt;=50,Table1[[#This Row],[Frequency (GHz)]]&lt;75),Table1[[#This Row],[Max Chip Thermal Density (W/cm2)]],#N/A)</f>
        <v>#N/A</v>
      </c>
      <c r="AR51" s="1" t="e">
        <f>IF(AND(ISNUMBER(Table1[[#This Row],[Max Chip Thermal Density (W/cm2)]]),Table1[[#This Row],[Frequency (GHz)]]&gt;=75,Table1[[#This Row],[Frequency (GHz)]]&lt;110),Table1[[#This Row],[Max Chip Thermal Density (W/cm2)]],#N/A)</f>
        <v>#N/A</v>
      </c>
      <c r="AS51" s="1" t="e">
        <f>IF(AND(ISNUMBER(Table1[[#This Row],[Max Chip Thermal Density (W/cm2)]]),Table1[[#This Row],[Frequency (GHz)]]&gt;=110,Table1[[#This Row],[Frequency (GHz)]]&lt;170),Table1[[#This Row],[Max Chip Thermal Density (W/cm2)]],#N/A)</f>
        <v>#N/A</v>
      </c>
      <c r="AT51" s="1" t="e">
        <f>IF(AND(ISNUMBER(Table1[[#This Row],[Max Chip Thermal Density (W/cm2)]]),Table1[[#This Row],[Frequency (GHz)]]&gt;=170,Table1[[#This Row],[Frequency (GHz)]]&lt;260),Table1[[#This Row],[Max Chip Thermal Density (W/cm2)]],#N/A)</f>
        <v>#N/A</v>
      </c>
      <c r="AU51" s="1">
        <f>IF(AND(ISNUMBER(Table1[[#This Row],[Max Chip Thermal Density (W/cm2)]]),Table1[[#This Row],[Frequency (GHz)]]&gt;=260),Table1[[#This Row],[Max Chip Thermal Density (W/cm2)]],#N/A)</f>
        <v>1.9550342130987293</v>
      </c>
    </row>
    <row r="52" spans="1:47" x14ac:dyDescent="0.2">
      <c r="A52" s="25">
        <f>IF(ISNUMBER(Table1[[#This Row],[Total Pout/Prad (dBm)]]),Table1[[#This Row],[Total Pout/Prad (dBm)]],#N/A)</f>
        <v>-16.100000000000001</v>
      </c>
      <c r="B52" s="1">
        <f>IF(ISNUMBER(Table1[[#This Row],[Total Pout/Prad (dBm)]]),Table1[[#This Row],[Total '# of TX Elements]],#N/A)</f>
        <v>8</v>
      </c>
      <c r="C52" s="1">
        <f>IF(ISNUMBER(Table1[[#This Row],[TX EIRP (dBm)]]),Table1[[#This Row],[TX EIRP (dBm)]],#N/A)</f>
        <v>7.1</v>
      </c>
      <c r="D52" s="1">
        <f>Table1[[#This Row],[TX Pdc (W)]]</f>
        <v>9.9699999999999997E-2</v>
      </c>
      <c r="E52" s="1">
        <f>IF(ISNUMBER(Table1[[#This Row],[Array Aperture Size (cm2)]]),Table1[[#This Row],[Array Aperture Size (cm2)]],IF(Table1[[#This Row],[Antenna on (None, Chip, AiP, PCB)]]="Chip",Table1[[#This Row],[Chip Core Size - X (mm)]]*Table1[[#This Row],[Chip Core Size -Y (mm)]]/100*Table1[[#This Row],['# of IC per Tile]]*Table1[[#This Row],['# of Array Tile]],#N/A))</f>
        <v>3.2000000000000006E-3</v>
      </c>
      <c r="F52" s="1">
        <f t="shared" si="0"/>
        <v>2.4620952012888955E-2</v>
      </c>
      <c r="G52" s="1">
        <f t="shared" si="1"/>
        <v>5.144045977847191</v>
      </c>
      <c r="L52" s="1" t="e">
        <f>IF(Table1[[#This Row],[Frequency (GHz)]]&lt;20,Plot_Data_Power!F52,#N/A)</f>
        <v>#N/A</v>
      </c>
      <c r="M52" s="1" t="e">
        <f>IF(AND(Table1[[#This Row],[Frequency (GHz)]]&gt;=20,Table1[[#This Row],[Frequency (GHz)]]&lt;50),Plot_Data_Power!F52,#N/A)</f>
        <v>#N/A</v>
      </c>
      <c r="N52" s="1" t="e">
        <f>IF(AND(Table1[[#This Row],[Frequency (GHz)]]&gt;=50,Table1[[#This Row],[Frequency (GHz)]]&lt;75),Plot_Data_Power!F52,#N/A)</f>
        <v>#N/A</v>
      </c>
      <c r="O52" s="1" t="e">
        <f>IF(AND(Table1[[#This Row],[Frequency (GHz)]]&gt;=75,Table1[[#This Row],[Frequency (GHz)]]&lt;110),Plot_Data_Power!F52,#N/A)</f>
        <v>#N/A</v>
      </c>
      <c r="P52" s="1" t="e">
        <f>IF(AND(Table1[[#This Row],[Frequency (GHz)]]&gt;=110,Table1[[#This Row],[Frequency (GHz)]]&lt;170),Plot_Data_Power!F52,#N/A)</f>
        <v>#N/A</v>
      </c>
      <c r="Q52" s="1" t="e">
        <f>IF(AND(Table1[[#This Row],[Frequency (GHz)]]&gt;=170,Table1[[#This Row],[Frequency (GHz)]]&lt;260),Plot_Data_Power!F52,#N/A)</f>
        <v>#N/A</v>
      </c>
      <c r="R52" s="1">
        <f>IF(Table1[[#This Row],[Frequency (GHz)]]&gt;=260,Plot_Data_Power!F52,#N/A)</f>
        <v>2.4620952012888955E-2</v>
      </c>
      <c r="U52" s="1" t="e">
        <f>IF(Table1[[#This Row],[Frequency (GHz)]]&lt;20,Plot_Data_Power!G52,#N/A)</f>
        <v>#N/A</v>
      </c>
      <c r="V52" s="1" t="e">
        <f>IF(AND(Table1[[#This Row],[Frequency (GHz)]]&gt;=20,Table1[[#This Row],[Frequency (GHz)]]&lt;50),Plot_Data_Power!G52,#N/A)</f>
        <v>#N/A</v>
      </c>
      <c r="W52" s="1" t="e">
        <f>IF(AND(Table1[[#This Row],[Frequency (GHz)]]&gt;=50,Table1[[#This Row],[Frequency (GHz)]]&lt;75),Plot_Data_Power!G52,#N/A)</f>
        <v>#N/A</v>
      </c>
      <c r="X52" s="1" t="e">
        <f>IF(AND(Table1[[#This Row],[Frequency (GHz)]]&gt;=75,Table1[[#This Row],[Frequency (GHz)]]&lt;110),Plot_Data_Power!G52,#N/A)</f>
        <v>#N/A</v>
      </c>
      <c r="Y52" s="1" t="e">
        <f>IF(AND(Table1[[#This Row],[Frequency (GHz)]]&gt;=110,Table1[[#This Row],[Frequency (GHz)]]&lt;170),Plot_Data_Power!G52,#N/A)</f>
        <v>#N/A</v>
      </c>
      <c r="Z52" s="1" t="e">
        <f>IF(AND(Table1[[#This Row],[Frequency (GHz)]]&gt;=170,Table1[[#This Row],[Frequency (GHz)]]&lt;260),Plot_Data_Power!G52,#N/A)</f>
        <v>#N/A</v>
      </c>
      <c r="AA52" s="1">
        <f>IF(Table1[[#This Row],[Frequency (GHz)]]&gt;=260,Plot_Data_Power!G52,#N/A)</f>
        <v>5.144045977847191</v>
      </c>
      <c r="AD52" s="1" t="e">
        <f>IF(ISNUMBER(Table1[[#This Row],[Max Package Thermal Density (W/cm2)]]),Table1[[#This Row],[Max Package Thermal Density (W/cm2)]],#N/A)</f>
        <v>#N/A</v>
      </c>
      <c r="AE52" s="1" t="e">
        <f>IF(AND(ISNUMBER((Table1[[#This Row],[Max Package Thermal Density (W/cm2)]])),Table1[[#This Row],[Frequency (GHz)]]&lt;20),Table1[[#This Row],[Max Package Thermal Density (W/cm2)]],#N/A)</f>
        <v>#N/A</v>
      </c>
      <c r="AF52" s="1" t="e">
        <f>IF(AND(ISNUMBER(Table1[[#This Row],[Max Package Thermal Density (W/cm2)]]),Table1[[#This Row],[Frequency (GHz)]]&gt;=20,Table1[[#This Row],[Frequency (GHz)]]&lt;50),Table1[[#This Row],[Max Package Thermal Density (W/cm2)]],#N/A)</f>
        <v>#N/A</v>
      </c>
      <c r="AG52" s="1" t="e">
        <f>IF(AND(ISNUMBER(Table1[[#This Row],[Max Package Thermal Density (W/cm2)]]),Table1[[#This Row],[Frequency (GHz)]]&gt;=50,Table1[[#This Row],[Frequency (GHz)]]&lt;75),Table1[[#This Row],[Max Package Thermal Density (W/cm2)]],#N/A)</f>
        <v>#N/A</v>
      </c>
      <c r="AH52" s="1" t="e">
        <f>IF(AND(ISNUMBER(Table1[[#This Row],[Max Package Thermal Density (W/cm2)]]),Table1[[#This Row],[Frequency (GHz)]]&gt;=75,Table1[[#This Row],[Frequency (GHz)]]&lt;110),Table1[[#This Row],[Max Package Thermal Density (W/cm2)]],#N/A)</f>
        <v>#N/A</v>
      </c>
      <c r="AI52" s="1" t="e">
        <f>IF(AND(ISNUMBER(Table1[[#This Row],[Max Package Thermal Density (W/cm2)]]),Table1[[#This Row],[Frequency (GHz)]]&gt;=110,Table1[[#This Row],[Frequency (GHz)]]&lt;170),Table1[[#This Row],[Max Package Thermal Density (W/cm2)]],#N/A)</f>
        <v>#N/A</v>
      </c>
      <c r="AJ52" s="1" t="e">
        <f>IF(AND(ISNUMBER(Table1[[#This Row],[Max Package Thermal Density (W/cm2)]]),Table1[[#This Row],[Frequency (GHz)]]&gt;=170,Table1[[#This Row],[Frequency (GHz)]]&lt;260),Table1[[#This Row],[Max Package Thermal Density (W/cm2)]],#N/A)</f>
        <v>#N/A</v>
      </c>
      <c r="AK52" s="1" t="e">
        <f>IF(AND(ISNUMBER(Table1[[#This Row],[Max Package Thermal Density (W/cm2)]]),Table1[[#This Row],[Frequency (GHz)]]&gt;=260),Table1[[#This Row],[Max Package Thermal Density (W/cm2)]],#N/A)</f>
        <v>#N/A</v>
      </c>
      <c r="AN52" s="1">
        <f>IF(ISNUMBER(Table1[[#This Row],[Max Chip Thermal Density (W/cm2)]]),Table1[[#This Row],[Max Chip Thermal Density (W/cm2)]],#N/A)</f>
        <v>11.559420289855073</v>
      </c>
      <c r="AO52" s="1" t="e">
        <f>IF(AND(ISNUMBER((Table1[[#This Row],[Max Chip Thermal Density (W/cm2)]])),Table1[[#This Row],[Frequency (GHz)]]&lt;20),Table1[[#This Row],[Max Chip Thermal Density (W/cm2)]],#N/A)</f>
        <v>#N/A</v>
      </c>
      <c r="AP52" s="1" t="e">
        <f>IF(AND(ISNUMBER(Table1[[#This Row],[Max Chip Thermal Density (W/cm2)]]),Table1[[#This Row],[Frequency (GHz)]]&gt;=20,Table1[[#This Row],[Frequency (GHz)]]&lt;50),Table1[[#This Row],[Max Chip Thermal Density (W/cm2)]],#N/A)</f>
        <v>#N/A</v>
      </c>
      <c r="AQ52" s="1" t="e">
        <f>IF(AND(ISNUMBER(Table1[[#This Row],[Max Chip Thermal Density (W/cm2)]]),Table1[[#This Row],[Frequency (GHz)]]&gt;=50,Table1[[#This Row],[Frequency (GHz)]]&lt;75),Table1[[#This Row],[Max Chip Thermal Density (W/cm2)]],#N/A)</f>
        <v>#N/A</v>
      </c>
      <c r="AR52" s="1" t="e">
        <f>IF(AND(ISNUMBER(Table1[[#This Row],[Max Chip Thermal Density (W/cm2)]]),Table1[[#This Row],[Frequency (GHz)]]&gt;=75,Table1[[#This Row],[Frequency (GHz)]]&lt;110),Table1[[#This Row],[Max Chip Thermal Density (W/cm2)]],#N/A)</f>
        <v>#N/A</v>
      </c>
      <c r="AS52" s="1" t="e">
        <f>IF(AND(ISNUMBER(Table1[[#This Row],[Max Chip Thermal Density (W/cm2)]]),Table1[[#This Row],[Frequency (GHz)]]&gt;=110,Table1[[#This Row],[Frequency (GHz)]]&lt;170),Table1[[#This Row],[Max Chip Thermal Density (W/cm2)]],#N/A)</f>
        <v>#N/A</v>
      </c>
      <c r="AT52" s="1" t="e">
        <f>IF(AND(ISNUMBER(Table1[[#This Row],[Max Chip Thermal Density (W/cm2)]]),Table1[[#This Row],[Frequency (GHz)]]&gt;=170,Table1[[#This Row],[Frequency (GHz)]]&lt;260),Table1[[#This Row],[Max Chip Thermal Density (W/cm2)]],#N/A)</f>
        <v>#N/A</v>
      </c>
      <c r="AU52" s="1">
        <f>IF(AND(ISNUMBER(Table1[[#This Row],[Max Chip Thermal Density (W/cm2)]]),Table1[[#This Row],[Frequency (GHz)]]&gt;=260),Table1[[#This Row],[Max Chip Thermal Density (W/cm2)]],#N/A)</f>
        <v>11.559420289855073</v>
      </c>
    </row>
    <row r="53" spans="1:47" x14ac:dyDescent="0.2">
      <c r="A53" s="25">
        <f>IF(ISNUMBER(Table1[[#This Row],[Total Pout/Prad (dBm)]]),Table1[[#This Row],[Total Pout/Prad (dBm)]],#N/A)</f>
        <v>20.04119982655925</v>
      </c>
      <c r="B53" s="1">
        <f>IF(ISNUMBER(Table1[[#This Row],[Total Pout/Prad (dBm)]]),Table1[[#This Row],[Total '# of TX Elements]],#N/A)</f>
        <v>16</v>
      </c>
      <c r="C53" s="1">
        <f>IF(ISNUMBER(Table1[[#This Row],[TX EIRP (dBm)]]),Table1[[#This Row],[TX EIRP (dBm)]],#N/A)</f>
        <v>30</v>
      </c>
      <c r="D53" s="1">
        <f>Table1[[#This Row],[TX Pdc (W)]]</f>
        <v>4</v>
      </c>
      <c r="E53" s="1">
        <f>IF(ISNUMBER(Table1[[#This Row],[Array Aperture Size (cm2)]]),Table1[[#This Row],[Array Aperture Size (cm2)]],IF(Table1[[#This Row],[Antenna on (None, Chip, AiP, PCB)]]="Chip",Table1[[#This Row],[Chip Core Size - X (mm)]]*Table1[[#This Row],[Chip Core Size -Y (mm)]]/100*Table1[[#This Row],['# of IC per Tile]]*Table1[[#This Row],['# of Array Tile]],#N/A))</f>
        <v>0.81649999999999989</v>
      </c>
      <c r="F53" s="1">
        <f t="shared" si="0"/>
        <v>2.5238293779207748</v>
      </c>
      <c r="G53" s="1">
        <f t="shared" si="1"/>
        <v>25</v>
      </c>
      <c r="L53" s="1" t="e">
        <f>IF(Table1[[#This Row],[Frequency (GHz)]]&lt;20,Plot_Data_Power!F53,#N/A)</f>
        <v>#N/A</v>
      </c>
      <c r="M53" s="1" t="e">
        <f>IF(AND(Table1[[#This Row],[Frequency (GHz)]]&gt;=20,Table1[[#This Row],[Frequency (GHz)]]&lt;50),Plot_Data_Power!F53,#N/A)</f>
        <v>#N/A</v>
      </c>
      <c r="N53" s="1" t="e">
        <f>IF(AND(Table1[[#This Row],[Frequency (GHz)]]&gt;=50,Table1[[#This Row],[Frequency (GHz)]]&lt;75),Plot_Data_Power!F53,#N/A)</f>
        <v>#N/A</v>
      </c>
      <c r="O53" s="1">
        <f>IF(AND(Table1[[#This Row],[Frequency (GHz)]]&gt;=75,Table1[[#This Row],[Frequency (GHz)]]&lt;110),Plot_Data_Power!F53,#N/A)</f>
        <v>2.5238293779207748</v>
      </c>
      <c r="P53" s="1" t="e">
        <f>IF(AND(Table1[[#This Row],[Frequency (GHz)]]&gt;=110,Table1[[#This Row],[Frequency (GHz)]]&lt;170),Plot_Data_Power!F53,#N/A)</f>
        <v>#N/A</v>
      </c>
      <c r="Q53" s="1" t="e">
        <f>IF(AND(Table1[[#This Row],[Frequency (GHz)]]&gt;=170,Table1[[#This Row],[Frequency (GHz)]]&lt;260),Plot_Data_Power!F53,#N/A)</f>
        <v>#N/A</v>
      </c>
      <c r="R53" s="1" t="e">
        <f>IF(Table1[[#This Row],[Frequency (GHz)]]&gt;=260,Plot_Data_Power!F53,#N/A)</f>
        <v>#N/A</v>
      </c>
      <c r="U53" s="1" t="e">
        <f>IF(Table1[[#This Row],[Frequency (GHz)]]&lt;20,Plot_Data_Power!G53,#N/A)</f>
        <v>#N/A</v>
      </c>
      <c r="V53" s="1" t="e">
        <f>IF(AND(Table1[[#This Row],[Frequency (GHz)]]&gt;=20,Table1[[#This Row],[Frequency (GHz)]]&lt;50),Plot_Data_Power!G53,#N/A)</f>
        <v>#N/A</v>
      </c>
      <c r="W53" s="1" t="e">
        <f>IF(AND(Table1[[#This Row],[Frequency (GHz)]]&gt;=50,Table1[[#This Row],[Frequency (GHz)]]&lt;75),Plot_Data_Power!G53,#N/A)</f>
        <v>#N/A</v>
      </c>
      <c r="X53" s="1">
        <f>IF(AND(Table1[[#This Row],[Frequency (GHz)]]&gt;=75,Table1[[#This Row],[Frequency (GHz)]]&lt;110),Plot_Data_Power!G53,#N/A)</f>
        <v>25</v>
      </c>
      <c r="Y53" s="1" t="e">
        <f>IF(AND(Table1[[#This Row],[Frequency (GHz)]]&gt;=110,Table1[[#This Row],[Frequency (GHz)]]&lt;170),Plot_Data_Power!G53,#N/A)</f>
        <v>#N/A</v>
      </c>
      <c r="Z53" s="1" t="e">
        <f>IF(AND(Table1[[#This Row],[Frequency (GHz)]]&gt;=170,Table1[[#This Row],[Frequency (GHz)]]&lt;260),Plot_Data_Power!G53,#N/A)</f>
        <v>#N/A</v>
      </c>
      <c r="AA53" s="1" t="e">
        <f>IF(Table1[[#This Row],[Frequency (GHz)]]&gt;=260,Plot_Data_Power!G53,#N/A)</f>
        <v>#N/A</v>
      </c>
      <c r="AD53" s="1">
        <f>IF(ISNUMBER(Table1[[#This Row],[Max Package Thermal Density (W/cm2)]]),Table1[[#This Row],[Max Package Thermal Density (W/cm2)]],#N/A)</f>
        <v>4.898958971218617</v>
      </c>
      <c r="AE53" s="1" t="e">
        <f>IF(AND(ISNUMBER((Table1[[#This Row],[Max Package Thermal Density (W/cm2)]])),Table1[[#This Row],[Frequency (GHz)]]&lt;20),Table1[[#This Row],[Max Package Thermal Density (W/cm2)]],#N/A)</f>
        <v>#N/A</v>
      </c>
      <c r="AF53" s="1" t="e">
        <f>IF(AND(ISNUMBER(Table1[[#This Row],[Max Package Thermal Density (W/cm2)]]),Table1[[#This Row],[Frequency (GHz)]]&gt;=20,Table1[[#This Row],[Frequency (GHz)]]&lt;50),Table1[[#This Row],[Max Package Thermal Density (W/cm2)]],#N/A)</f>
        <v>#N/A</v>
      </c>
      <c r="AG53" s="1" t="e">
        <f>IF(AND(ISNUMBER(Table1[[#This Row],[Max Package Thermal Density (W/cm2)]]),Table1[[#This Row],[Frequency (GHz)]]&gt;=50,Table1[[#This Row],[Frequency (GHz)]]&lt;75),Table1[[#This Row],[Max Package Thermal Density (W/cm2)]],#N/A)</f>
        <v>#N/A</v>
      </c>
      <c r="AH53" s="1">
        <f>IF(AND(ISNUMBER(Table1[[#This Row],[Max Package Thermal Density (W/cm2)]]),Table1[[#This Row],[Frequency (GHz)]]&gt;=75,Table1[[#This Row],[Frequency (GHz)]]&lt;110),Table1[[#This Row],[Max Package Thermal Density (W/cm2)]],#N/A)</f>
        <v>4.898958971218617</v>
      </c>
      <c r="AI53" s="1" t="e">
        <f>IF(AND(ISNUMBER(Table1[[#This Row],[Max Package Thermal Density (W/cm2)]]),Table1[[#This Row],[Frequency (GHz)]]&gt;=110,Table1[[#This Row],[Frequency (GHz)]]&lt;170),Table1[[#This Row],[Max Package Thermal Density (W/cm2)]],#N/A)</f>
        <v>#N/A</v>
      </c>
      <c r="AJ53" s="1" t="e">
        <f>IF(AND(ISNUMBER(Table1[[#This Row],[Max Package Thermal Density (W/cm2)]]),Table1[[#This Row],[Frequency (GHz)]]&gt;=170,Table1[[#This Row],[Frequency (GHz)]]&lt;260),Table1[[#This Row],[Max Package Thermal Density (W/cm2)]],#N/A)</f>
        <v>#N/A</v>
      </c>
      <c r="AK53" s="1" t="e">
        <f>IF(AND(ISNUMBER(Table1[[#This Row],[Max Package Thermal Density (W/cm2)]]),Table1[[#This Row],[Frequency (GHz)]]&gt;=260),Table1[[#This Row],[Max Package Thermal Density (W/cm2)]],#N/A)</f>
        <v>#N/A</v>
      </c>
      <c r="AN53" s="1">
        <f>IF(ISNUMBER(Table1[[#This Row],[Max Chip Thermal Density (W/cm2)]]),Table1[[#This Row],[Max Chip Thermal Density (W/cm2)]],#N/A)</f>
        <v>7.7639751552795033</v>
      </c>
      <c r="AO53" s="1" t="e">
        <f>IF(AND(ISNUMBER((Table1[[#This Row],[Max Chip Thermal Density (W/cm2)]])),Table1[[#This Row],[Frequency (GHz)]]&lt;20),Table1[[#This Row],[Max Chip Thermal Density (W/cm2)]],#N/A)</f>
        <v>#N/A</v>
      </c>
      <c r="AP53" s="1" t="e">
        <f>IF(AND(ISNUMBER(Table1[[#This Row],[Max Chip Thermal Density (W/cm2)]]),Table1[[#This Row],[Frequency (GHz)]]&gt;=20,Table1[[#This Row],[Frequency (GHz)]]&lt;50),Table1[[#This Row],[Max Chip Thermal Density (W/cm2)]],#N/A)</f>
        <v>#N/A</v>
      </c>
      <c r="AQ53" s="1" t="e">
        <f>IF(AND(ISNUMBER(Table1[[#This Row],[Max Chip Thermal Density (W/cm2)]]),Table1[[#This Row],[Frequency (GHz)]]&gt;=50,Table1[[#This Row],[Frequency (GHz)]]&lt;75),Table1[[#This Row],[Max Chip Thermal Density (W/cm2)]],#N/A)</f>
        <v>#N/A</v>
      </c>
      <c r="AR53" s="1">
        <f>IF(AND(ISNUMBER(Table1[[#This Row],[Max Chip Thermal Density (W/cm2)]]),Table1[[#This Row],[Frequency (GHz)]]&gt;=75,Table1[[#This Row],[Frequency (GHz)]]&lt;110),Table1[[#This Row],[Max Chip Thermal Density (W/cm2)]],#N/A)</f>
        <v>7.7639751552795033</v>
      </c>
      <c r="AS53" s="1" t="e">
        <f>IF(AND(ISNUMBER(Table1[[#This Row],[Max Chip Thermal Density (W/cm2)]]),Table1[[#This Row],[Frequency (GHz)]]&gt;=110,Table1[[#This Row],[Frequency (GHz)]]&lt;170),Table1[[#This Row],[Max Chip Thermal Density (W/cm2)]],#N/A)</f>
        <v>#N/A</v>
      </c>
      <c r="AT53" s="1" t="e">
        <f>IF(AND(ISNUMBER(Table1[[#This Row],[Max Chip Thermal Density (W/cm2)]]),Table1[[#This Row],[Frequency (GHz)]]&gt;=170,Table1[[#This Row],[Frequency (GHz)]]&lt;260),Table1[[#This Row],[Max Chip Thermal Density (W/cm2)]],#N/A)</f>
        <v>#N/A</v>
      </c>
      <c r="AU53" s="1" t="e">
        <f>IF(AND(ISNUMBER(Table1[[#This Row],[Max Chip Thermal Density (W/cm2)]]),Table1[[#This Row],[Frequency (GHz)]]&gt;=260),Table1[[#This Row],[Max Chip Thermal Density (W/cm2)]],#N/A)</f>
        <v>#N/A</v>
      </c>
    </row>
    <row r="54" spans="1:47" x14ac:dyDescent="0.2">
      <c r="A54" s="25">
        <f>IF(ISNUMBER(Table1[[#This Row],[Total Pout/Prad (dBm)]]),Table1[[#This Row],[Total Pout/Prad (dBm)]],#N/A)</f>
        <v>13.000000000000004</v>
      </c>
      <c r="B54" s="1">
        <f>IF(ISNUMBER(Table1[[#This Row],[Total Pout/Prad (dBm)]]),Table1[[#This Row],[Total '# of TX Elements]],#N/A)</f>
        <v>1</v>
      </c>
      <c r="C54" s="1" t="e">
        <f>IF(ISNUMBER(Table1[[#This Row],[TX EIRP (dBm)]]),Table1[[#This Row],[TX EIRP (dBm)]],#N/A)</f>
        <v>#N/A</v>
      </c>
      <c r="D54" s="1">
        <f>Table1[[#This Row],[TX Pdc (W)]]</f>
        <v>1.35</v>
      </c>
      <c r="E54"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54" s="1">
        <f t="shared" si="0"/>
        <v>1.4779720851621345</v>
      </c>
      <c r="G54" s="1" t="e">
        <f t="shared" si="1"/>
        <v>#N/A</v>
      </c>
      <c r="L54" s="1" t="e">
        <f>IF(Table1[[#This Row],[Frequency (GHz)]]&lt;20,Plot_Data_Power!F54,#N/A)</f>
        <v>#N/A</v>
      </c>
      <c r="M54" s="1" t="e">
        <f>IF(AND(Table1[[#This Row],[Frequency (GHz)]]&gt;=20,Table1[[#This Row],[Frequency (GHz)]]&lt;50),Plot_Data_Power!F54,#N/A)</f>
        <v>#N/A</v>
      </c>
      <c r="N54" s="1" t="e">
        <f>IF(AND(Table1[[#This Row],[Frequency (GHz)]]&gt;=50,Table1[[#This Row],[Frequency (GHz)]]&lt;75),Plot_Data_Power!F54,#N/A)</f>
        <v>#N/A</v>
      </c>
      <c r="O54" s="1" t="e">
        <f>IF(AND(Table1[[#This Row],[Frequency (GHz)]]&gt;=75,Table1[[#This Row],[Frequency (GHz)]]&lt;110),Plot_Data_Power!F54,#N/A)</f>
        <v>#N/A</v>
      </c>
      <c r="P54" s="1">
        <f>IF(AND(Table1[[#This Row],[Frequency (GHz)]]&gt;=110,Table1[[#This Row],[Frequency (GHz)]]&lt;170),Plot_Data_Power!F54,#N/A)</f>
        <v>1.4779720851621345</v>
      </c>
      <c r="Q54" s="1" t="e">
        <f>IF(AND(Table1[[#This Row],[Frequency (GHz)]]&gt;=170,Table1[[#This Row],[Frequency (GHz)]]&lt;260),Plot_Data_Power!F54,#N/A)</f>
        <v>#N/A</v>
      </c>
      <c r="R54" s="1" t="e">
        <f>IF(Table1[[#This Row],[Frequency (GHz)]]&gt;=260,Plot_Data_Power!F54,#N/A)</f>
        <v>#N/A</v>
      </c>
      <c r="U54" s="1" t="e">
        <f>IF(Table1[[#This Row],[Frequency (GHz)]]&lt;20,Plot_Data_Power!G54,#N/A)</f>
        <v>#N/A</v>
      </c>
      <c r="V54" s="1" t="e">
        <f>IF(AND(Table1[[#This Row],[Frequency (GHz)]]&gt;=20,Table1[[#This Row],[Frequency (GHz)]]&lt;50),Plot_Data_Power!G54,#N/A)</f>
        <v>#N/A</v>
      </c>
      <c r="W54" s="1" t="e">
        <f>IF(AND(Table1[[#This Row],[Frequency (GHz)]]&gt;=50,Table1[[#This Row],[Frequency (GHz)]]&lt;75),Plot_Data_Power!G54,#N/A)</f>
        <v>#N/A</v>
      </c>
      <c r="X54" s="1" t="e">
        <f>IF(AND(Table1[[#This Row],[Frequency (GHz)]]&gt;=75,Table1[[#This Row],[Frequency (GHz)]]&lt;110),Plot_Data_Power!G54,#N/A)</f>
        <v>#N/A</v>
      </c>
      <c r="Y54" s="1" t="e">
        <f>IF(AND(Table1[[#This Row],[Frequency (GHz)]]&gt;=110,Table1[[#This Row],[Frequency (GHz)]]&lt;170),Plot_Data_Power!G54,#N/A)</f>
        <v>#N/A</v>
      </c>
      <c r="Z54" s="1" t="e">
        <f>IF(AND(Table1[[#This Row],[Frequency (GHz)]]&gt;=170,Table1[[#This Row],[Frequency (GHz)]]&lt;260),Plot_Data_Power!G54,#N/A)</f>
        <v>#N/A</v>
      </c>
      <c r="AA54" s="1" t="e">
        <f>IF(Table1[[#This Row],[Frequency (GHz)]]&gt;=260,Plot_Data_Power!G54,#N/A)</f>
        <v>#N/A</v>
      </c>
      <c r="AD54" s="1" t="e">
        <f>IF(ISNUMBER(Table1[[#This Row],[Max Package Thermal Density (W/cm2)]]),Table1[[#This Row],[Max Package Thermal Density (W/cm2)]],#N/A)</f>
        <v>#N/A</v>
      </c>
      <c r="AE54" s="1" t="e">
        <f>IF(AND(ISNUMBER((Table1[[#This Row],[Max Package Thermal Density (W/cm2)]])),Table1[[#This Row],[Frequency (GHz)]]&lt;20),Table1[[#This Row],[Max Package Thermal Density (W/cm2)]],#N/A)</f>
        <v>#N/A</v>
      </c>
      <c r="AF54" s="1" t="e">
        <f>IF(AND(ISNUMBER(Table1[[#This Row],[Max Package Thermal Density (W/cm2)]]),Table1[[#This Row],[Frequency (GHz)]]&gt;=20,Table1[[#This Row],[Frequency (GHz)]]&lt;50),Table1[[#This Row],[Max Package Thermal Density (W/cm2)]],#N/A)</f>
        <v>#N/A</v>
      </c>
      <c r="AG54" s="1" t="e">
        <f>IF(AND(ISNUMBER(Table1[[#This Row],[Max Package Thermal Density (W/cm2)]]),Table1[[#This Row],[Frequency (GHz)]]&gt;=50,Table1[[#This Row],[Frequency (GHz)]]&lt;75),Table1[[#This Row],[Max Package Thermal Density (W/cm2)]],#N/A)</f>
        <v>#N/A</v>
      </c>
      <c r="AH54" s="1" t="e">
        <f>IF(AND(ISNUMBER(Table1[[#This Row],[Max Package Thermal Density (W/cm2)]]),Table1[[#This Row],[Frequency (GHz)]]&gt;=75,Table1[[#This Row],[Frequency (GHz)]]&lt;110),Table1[[#This Row],[Max Package Thermal Density (W/cm2)]],#N/A)</f>
        <v>#N/A</v>
      </c>
      <c r="AI54" s="1" t="e">
        <f>IF(AND(ISNUMBER(Table1[[#This Row],[Max Package Thermal Density (W/cm2)]]),Table1[[#This Row],[Frequency (GHz)]]&gt;=110,Table1[[#This Row],[Frequency (GHz)]]&lt;170),Table1[[#This Row],[Max Package Thermal Density (W/cm2)]],#N/A)</f>
        <v>#N/A</v>
      </c>
      <c r="AJ54" s="1" t="e">
        <f>IF(AND(ISNUMBER(Table1[[#This Row],[Max Package Thermal Density (W/cm2)]]),Table1[[#This Row],[Frequency (GHz)]]&gt;=170,Table1[[#This Row],[Frequency (GHz)]]&lt;260),Table1[[#This Row],[Max Package Thermal Density (W/cm2)]],#N/A)</f>
        <v>#N/A</v>
      </c>
      <c r="AK54" s="1" t="e">
        <f>IF(AND(ISNUMBER(Table1[[#This Row],[Max Package Thermal Density (W/cm2)]]),Table1[[#This Row],[Frequency (GHz)]]&gt;=260),Table1[[#This Row],[Max Package Thermal Density (W/cm2)]],#N/A)</f>
        <v>#N/A</v>
      </c>
      <c r="AN54" s="1">
        <f>IF(ISNUMBER(Table1[[#This Row],[Max Chip Thermal Density (W/cm2)]]),Table1[[#This Row],[Max Chip Thermal Density (W/cm2)]],#N/A)</f>
        <v>11.538461538461538</v>
      </c>
      <c r="AO54" s="1" t="e">
        <f>IF(AND(ISNUMBER((Table1[[#This Row],[Max Chip Thermal Density (W/cm2)]])),Table1[[#This Row],[Frequency (GHz)]]&lt;20),Table1[[#This Row],[Max Chip Thermal Density (W/cm2)]],#N/A)</f>
        <v>#N/A</v>
      </c>
      <c r="AP54" s="1" t="e">
        <f>IF(AND(ISNUMBER(Table1[[#This Row],[Max Chip Thermal Density (W/cm2)]]),Table1[[#This Row],[Frequency (GHz)]]&gt;=20,Table1[[#This Row],[Frequency (GHz)]]&lt;50),Table1[[#This Row],[Max Chip Thermal Density (W/cm2)]],#N/A)</f>
        <v>#N/A</v>
      </c>
      <c r="AQ54" s="1" t="e">
        <f>IF(AND(ISNUMBER(Table1[[#This Row],[Max Chip Thermal Density (W/cm2)]]),Table1[[#This Row],[Frequency (GHz)]]&gt;=50,Table1[[#This Row],[Frequency (GHz)]]&lt;75),Table1[[#This Row],[Max Chip Thermal Density (W/cm2)]],#N/A)</f>
        <v>#N/A</v>
      </c>
      <c r="AR54" s="1" t="e">
        <f>IF(AND(ISNUMBER(Table1[[#This Row],[Max Chip Thermal Density (W/cm2)]]),Table1[[#This Row],[Frequency (GHz)]]&gt;=75,Table1[[#This Row],[Frequency (GHz)]]&lt;110),Table1[[#This Row],[Max Chip Thermal Density (W/cm2)]],#N/A)</f>
        <v>#N/A</v>
      </c>
      <c r="AS54" s="1">
        <f>IF(AND(ISNUMBER(Table1[[#This Row],[Max Chip Thermal Density (W/cm2)]]),Table1[[#This Row],[Frequency (GHz)]]&gt;=110,Table1[[#This Row],[Frequency (GHz)]]&lt;170),Table1[[#This Row],[Max Chip Thermal Density (W/cm2)]],#N/A)</f>
        <v>11.538461538461538</v>
      </c>
      <c r="AT54" s="1" t="e">
        <f>IF(AND(ISNUMBER(Table1[[#This Row],[Max Chip Thermal Density (W/cm2)]]),Table1[[#This Row],[Frequency (GHz)]]&gt;=170,Table1[[#This Row],[Frequency (GHz)]]&lt;260),Table1[[#This Row],[Max Chip Thermal Density (W/cm2)]],#N/A)</f>
        <v>#N/A</v>
      </c>
      <c r="AU54" s="1" t="e">
        <f>IF(AND(ISNUMBER(Table1[[#This Row],[Max Chip Thermal Density (W/cm2)]]),Table1[[#This Row],[Frequency (GHz)]]&gt;=260),Table1[[#This Row],[Max Chip Thermal Density (W/cm2)]],#N/A)</f>
        <v>#N/A</v>
      </c>
    </row>
    <row r="55" spans="1:47" x14ac:dyDescent="0.2">
      <c r="A55" s="25">
        <f>IF(ISNUMBER(Table1[[#This Row],[Total Pout/Prad (dBm)]]),Table1[[#This Row],[Total Pout/Prad (dBm)]],#N/A)</f>
        <v>13.000000000000004</v>
      </c>
      <c r="B55" s="1">
        <f>IF(ISNUMBER(Table1[[#This Row],[Total Pout/Prad (dBm)]]),Table1[[#This Row],[Total '# of TX Elements]],#N/A)</f>
        <v>1</v>
      </c>
      <c r="C55" s="1" t="e">
        <f>IF(ISNUMBER(Table1[[#This Row],[TX EIRP (dBm)]]),Table1[[#This Row],[TX EIRP (dBm)]],#N/A)</f>
        <v>#N/A</v>
      </c>
      <c r="D55" s="1">
        <f>Table1[[#This Row],[TX Pdc (W)]]</f>
        <v>2.1</v>
      </c>
      <c r="E55"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55" s="1">
        <f t="shared" si="0"/>
        <v>0.95012491188994352</v>
      </c>
      <c r="G55" s="1" t="e">
        <f t="shared" si="1"/>
        <v>#N/A</v>
      </c>
      <c r="L55" s="1" t="e">
        <f>IF(Table1[[#This Row],[Frequency (GHz)]]&lt;20,Plot_Data_Power!F55,#N/A)</f>
        <v>#N/A</v>
      </c>
      <c r="M55" s="1" t="e">
        <f>IF(AND(Table1[[#This Row],[Frequency (GHz)]]&gt;=20,Table1[[#This Row],[Frequency (GHz)]]&lt;50),Plot_Data_Power!F55,#N/A)</f>
        <v>#N/A</v>
      </c>
      <c r="N55" s="1" t="e">
        <f>IF(AND(Table1[[#This Row],[Frequency (GHz)]]&gt;=50,Table1[[#This Row],[Frequency (GHz)]]&lt;75),Plot_Data_Power!F55,#N/A)</f>
        <v>#N/A</v>
      </c>
      <c r="O55" s="1" t="e">
        <f>IF(AND(Table1[[#This Row],[Frequency (GHz)]]&gt;=75,Table1[[#This Row],[Frequency (GHz)]]&lt;110),Plot_Data_Power!F55,#N/A)</f>
        <v>#N/A</v>
      </c>
      <c r="P55" s="1">
        <f>IF(AND(Table1[[#This Row],[Frequency (GHz)]]&gt;=110,Table1[[#This Row],[Frequency (GHz)]]&lt;170),Plot_Data_Power!F55,#N/A)</f>
        <v>0.95012491188994352</v>
      </c>
      <c r="Q55" s="1" t="e">
        <f>IF(AND(Table1[[#This Row],[Frequency (GHz)]]&gt;=170,Table1[[#This Row],[Frequency (GHz)]]&lt;260),Plot_Data_Power!F55,#N/A)</f>
        <v>#N/A</v>
      </c>
      <c r="R55" s="1" t="e">
        <f>IF(Table1[[#This Row],[Frequency (GHz)]]&gt;=260,Plot_Data_Power!F55,#N/A)</f>
        <v>#N/A</v>
      </c>
      <c r="U55" s="1" t="e">
        <f>IF(Table1[[#This Row],[Frequency (GHz)]]&lt;20,Plot_Data_Power!G55,#N/A)</f>
        <v>#N/A</v>
      </c>
      <c r="V55" s="1" t="e">
        <f>IF(AND(Table1[[#This Row],[Frequency (GHz)]]&gt;=20,Table1[[#This Row],[Frequency (GHz)]]&lt;50),Plot_Data_Power!G55,#N/A)</f>
        <v>#N/A</v>
      </c>
      <c r="W55" s="1" t="e">
        <f>IF(AND(Table1[[#This Row],[Frequency (GHz)]]&gt;=50,Table1[[#This Row],[Frequency (GHz)]]&lt;75),Plot_Data_Power!G55,#N/A)</f>
        <v>#N/A</v>
      </c>
      <c r="X55" s="1" t="e">
        <f>IF(AND(Table1[[#This Row],[Frequency (GHz)]]&gt;=75,Table1[[#This Row],[Frequency (GHz)]]&lt;110),Plot_Data_Power!G55,#N/A)</f>
        <v>#N/A</v>
      </c>
      <c r="Y55" s="1" t="e">
        <f>IF(AND(Table1[[#This Row],[Frequency (GHz)]]&gt;=110,Table1[[#This Row],[Frequency (GHz)]]&lt;170),Plot_Data_Power!G55,#N/A)</f>
        <v>#N/A</v>
      </c>
      <c r="Z55" s="1" t="e">
        <f>IF(AND(Table1[[#This Row],[Frequency (GHz)]]&gt;=170,Table1[[#This Row],[Frequency (GHz)]]&lt;260),Plot_Data_Power!G55,#N/A)</f>
        <v>#N/A</v>
      </c>
      <c r="AA55" s="1" t="e">
        <f>IF(Table1[[#This Row],[Frequency (GHz)]]&gt;=260,Plot_Data_Power!G55,#N/A)</f>
        <v>#N/A</v>
      </c>
      <c r="AD55" s="1" t="e">
        <f>IF(ISNUMBER(Table1[[#This Row],[Max Package Thermal Density (W/cm2)]]),Table1[[#This Row],[Max Package Thermal Density (W/cm2)]],#N/A)</f>
        <v>#N/A</v>
      </c>
      <c r="AE55" s="1" t="e">
        <f>IF(AND(ISNUMBER((Table1[[#This Row],[Max Package Thermal Density (W/cm2)]])),Table1[[#This Row],[Frequency (GHz)]]&lt;20),Table1[[#This Row],[Max Package Thermal Density (W/cm2)]],#N/A)</f>
        <v>#N/A</v>
      </c>
      <c r="AF55" s="1" t="e">
        <f>IF(AND(ISNUMBER(Table1[[#This Row],[Max Package Thermal Density (W/cm2)]]),Table1[[#This Row],[Frequency (GHz)]]&gt;=20,Table1[[#This Row],[Frequency (GHz)]]&lt;50),Table1[[#This Row],[Max Package Thermal Density (W/cm2)]],#N/A)</f>
        <v>#N/A</v>
      </c>
      <c r="AG55" s="1" t="e">
        <f>IF(AND(ISNUMBER(Table1[[#This Row],[Max Package Thermal Density (W/cm2)]]),Table1[[#This Row],[Frequency (GHz)]]&gt;=50,Table1[[#This Row],[Frequency (GHz)]]&lt;75),Table1[[#This Row],[Max Package Thermal Density (W/cm2)]],#N/A)</f>
        <v>#N/A</v>
      </c>
      <c r="AH55" s="1" t="e">
        <f>IF(AND(ISNUMBER(Table1[[#This Row],[Max Package Thermal Density (W/cm2)]]),Table1[[#This Row],[Frequency (GHz)]]&gt;=75,Table1[[#This Row],[Frequency (GHz)]]&lt;110),Table1[[#This Row],[Max Package Thermal Density (W/cm2)]],#N/A)</f>
        <v>#N/A</v>
      </c>
      <c r="AI55" s="1" t="e">
        <f>IF(AND(ISNUMBER(Table1[[#This Row],[Max Package Thermal Density (W/cm2)]]),Table1[[#This Row],[Frequency (GHz)]]&gt;=110,Table1[[#This Row],[Frequency (GHz)]]&lt;170),Table1[[#This Row],[Max Package Thermal Density (W/cm2)]],#N/A)</f>
        <v>#N/A</v>
      </c>
      <c r="AJ55" s="1" t="e">
        <f>IF(AND(ISNUMBER(Table1[[#This Row],[Max Package Thermal Density (W/cm2)]]),Table1[[#This Row],[Frequency (GHz)]]&gt;=170,Table1[[#This Row],[Frequency (GHz)]]&lt;260),Table1[[#This Row],[Max Package Thermal Density (W/cm2)]],#N/A)</f>
        <v>#N/A</v>
      </c>
      <c r="AK55" s="1" t="e">
        <f>IF(AND(ISNUMBER(Table1[[#This Row],[Max Package Thermal Density (W/cm2)]]),Table1[[#This Row],[Frequency (GHz)]]&gt;=260),Table1[[#This Row],[Max Package Thermal Density (W/cm2)]],#N/A)</f>
        <v>#N/A</v>
      </c>
      <c r="AN55" s="1">
        <f>IF(ISNUMBER(Table1[[#This Row],[Max Chip Thermal Density (W/cm2)]]),Table1[[#This Row],[Max Chip Thermal Density (W/cm2)]],#N/A)</f>
        <v>17.948717948717949</v>
      </c>
      <c r="AO55" s="1" t="e">
        <f>IF(AND(ISNUMBER((Table1[[#This Row],[Max Chip Thermal Density (W/cm2)]])),Table1[[#This Row],[Frequency (GHz)]]&lt;20),Table1[[#This Row],[Max Chip Thermal Density (W/cm2)]],#N/A)</f>
        <v>#N/A</v>
      </c>
      <c r="AP55" s="1" t="e">
        <f>IF(AND(ISNUMBER(Table1[[#This Row],[Max Chip Thermal Density (W/cm2)]]),Table1[[#This Row],[Frequency (GHz)]]&gt;=20,Table1[[#This Row],[Frequency (GHz)]]&lt;50),Table1[[#This Row],[Max Chip Thermal Density (W/cm2)]],#N/A)</f>
        <v>#N/A</v>
      </c>
      <c r="AQ55" s="1" t="e">
        <f>IF(AND(ISNUMBER(Table1[[#This Row],[Max Chip Thermal Density (W/cm2)]]),Table1[[#This Row],[Frequency (GHz)]]&gt;=50,Table1[[#This Row],[Frequency (GHz)]]&lt;75),Table1[[#This Row],[Max Chip Thermal Density (W/cm2)]],#N/A)</f>
        <v>#N/A</v>
      </c>
      <c r="AR55" s="1" t="e">
        <f>IF(AND(ISNUMBER(Table1[[#This Row],[Max Chip Thermal Density (W/cm2)]]),Table1[[#This Row],[Frequency (GHz)]]&gt;=75,Table1[[#This Row],[Frequency (GHz)]]&lt;110),Table1[[#This Row],[Max Chip Thermal Density (W/cm2)]],#N/A)</f>
        <v>#N/A</v>
      </c>
      <c r="AS55" s="1">
        <f>IF(AND(ISNUMBER(Table1[[#This Row],[Max Chip Thermal Density (W/cm2)]]),Table1[[#This Row],[Frequency (GHz)]]&gt;=110,Table1[[#This Row],[Frequency (GHz)]]&lt;170),Table1[[#This Row],[Max Chip Thermal Density (W/cm2)]],#N/A)</f>
        <v>17.948717948717949</v>
      </c>
      <c r="AT55" s="1" t="e">
        <f>IF(AND(ISNUMBER(Table1[[#This Row],[Max Chip Thermal Density (W/cm2)]]),Table1[[#This Row],[Frequency (GHz)]]&gt;=170,Table1[[#This Row],[Frequency (GHz)]]&lt;260),Table1[[#This Row],[Max Chip Thermal Density (W/cm2)]],#N/A)</f>
        <v>#N/A</v>
      </c>
      <c r="AU55" s="1" t="e">
        <f>IF(AND(ISNUMBER(Table1[[#This Row],[Max Chip Thermal Density (W/cm2)]]),Table1[[#This Row],[Frequency (GHz)]]&gt;=260),Table1[[#This Row],[Max Chip Thermal Density (W/cm2)]],#N/A)</f>
        <v>#N/A</v>
      </c>
    </row>
    <row r="56" spans="1:47" x14ac:dyDescent="0.2">
      <c r="A56" s="25" t="e">
        <f>IF(ISNUMBER(Table1[[#This Row],[Total Pout/Prad (dBm)]]),Table1[[#This Row],[Total Pout/Prad (dBm)]],#N/A)</f>
        <v>#N/A</v>
      </c>
      <c r="B56" s="1" t="e">
        <f>IF(ISNUMBER(Table1[[#This Row],[Total Pout/Prad (dBm)]]),Table1[[#This Row],[Total '# of TX Elements]],#N/A)</f>
        <v>#N/A</v>
      </c>
      <c r="C56" s="1" t="e">
        <f>IF(ISNUMBER(Table1[[#This Row],[TX EIRP (dBm)]]),Table1[[#This Row],[TX EIRP (dBm)]],#N/A)</f>
        <v>#N/A</v>
      </c>
      <c r="D56" s="1" t="str">
        <f>Table1[[#This Row],[TX Pdc (W)]]</f>
        <v>N/A</v>
      </c>
      <c r="E56" s="1">
        <f>IF(ISNUMBER(Table1[[#This Row],[Array Aperture Size (cm2)]]),Table1[[#This Row],[Array Aperture Size (cm2)]],IF(Table1[[#This Row],[Antenna on (None, Chip, AiP, PCB)]]="Chip",Table1[[#This Row],[Chip Core Size - X (mm)]]*Table1[[#This Row],[Chip Core Size -Y (mm)]]/100*Table1[[#This Row],['# of IC per Tile]]*Table1[[#This Row],['# of Array Tile]],#N/A))</f>
        <v>2.516E-3</v>
      </c>
      <c r="F56" s="1" t="e">
        <f t="shared" si="0"/>
        <v>#N/A</v>
      </c>
      <c r="G56" s="1" t="e">
        <f t="shared" si="1"/>
        <v>#N/A</v>
      </c>
      <c r="L56" s="1" t="e">
        <f>IF(Table1[[#This Row],[Frequency (GHz)]]&lt;20,Plot_Data_Power!F56,#N/A)</f>
        <v>#N/A</v>
      </c>
      <c r="M56" s="1" t="e">
        <f>IF(AND(Table1[[#This Row],[Frequency (GHz)]]&gt;=20,Table1[[#This Row],[Frequency (GHz)]]&lt;50),Plot_Data_Power!F56,#N/A)</f>
        <v>#N/A</v>
      </c>
      <c r="N56" s="1" t="e">
        <f>IF(AND(Table1[[#This Row],[Frequency (GHz)]]&gt;=50,Table1[[#This Row],[Frequency (GHz)]]&lt;75),Plot_Data_Power!F56,#N/A)</f>
        <v>#N/A</v>
      </c>
      <c r="O56" s="1" t="e">
        <f>IF(AND(Table1[[#This Row],[Frequency (GHz)]]&gt;=75,Table1[[#This Row],[Frequency (GHz)]]&lt;110),Plot_Data_Power!F56,#N/A)</f>
        <v>#N/A</v>
      </c>
      <c r="P56" s="1" t="e">
        <f>IF(AND(Table1[[#This Row],[Frequency (GHz)]]&gt;=110,Table1[[#This Row],[Frequency (GHz)]]&lt;170),Plot_Data_Power!F56,#N/A)</f>
        <v>#N/A</v>
      </c>
      <c r="Q56" s="1" t="e">
        <f>IF(AND(Table1[[#This Row],[Frequency (GHz)]]&gt;=170,Table1[[#This Row],[Frequency (GHz)]]&lt;260),Plot_Data_Power!F56,#N/A)</f>
        <v>#N/A</v>
      </c>
      <c r="R56" s="1" t="e">
        <f>IF(Table1[[#This Row],[Frequency (GHz)]]&gt;=260,Plot_Data_Power!F56,#N/A)</f>
        <v>#N/A</v>
      </c>
      <c r="U56" s="1" t="e">
        <f>IF(Table1[[#This Row],[Frequency (GHz)]]&lt;20,Plot_Data_Power!G56,#N/A)</f>
        <v>#N/A</v>
      </c>
      <c r="V56" s="1" t="e">
        <f>IF(AND(Table1[[#This Row],[Frequency (GHz)]]&gt;=20,Table1[[#This Row],[Frequency (GHz)]]&lt;50),Plot_Data_Power!G56,#N/A)</f>
        <v>#N/A</v>
      </c>
      <c r="W56" s="1" t="e">
        <f>IF(AND(Table1[[#This Row],[Frequency (GHz)]]&gt;=50,Table1[[#This Row],[Frequency (GHz)]]&lt;75),Plot_Data_Power!G56,#N/A)</f>
        <v>#N/A</v>
      </c>
      <c r="X56" s="1" t="e">
        <f>IF(AND(Table1[[#This Row],[Frequency (GHz)]]&gt;=75,Table1[[#This Row],[Frequency (GHz)]]&lt;110),Plot_Data_Power!G56,#N/A)</f>
        <v>#N/A</v>
      </c>
      <c r="Y56" s="1" t="e">
        <f>IF(AND(Table1[[#This Row],[Frequency (GHz)]]&gt;=110,Table1[[#This Row],[Frequency (GHz)]]&lt;170),Plot_Data_Power!G56,#N/A)</f>
        <v>#N/A</v>
      </c>
      <c r="Z56" s="1" t="e">
        <f>IF(AND(Table1[[#This Row],[Frequency (GHz)]]&gt;=170,Table1[[#This Row],[Frequency (GHz)]]&lt;260),Plot_Data_Power!G56,#N/A)</f>
        <v>#N/A</v>
      </c>
      <c r="AA56" s="1" t="e">
        <f>IF(Table1[[#This Row],[Frequency (GHz)]]&gt;=260,Plot_Data_Power!G56,#N/A)</f>
        <v>#N/A</v>
      </c>
      <c r="AD56" s="1" t="e">
        <f>IF(ISNUMBER(Table1[[#This Row],[Max Package Thermal Density (W/cm2)]]),Table1[[#This Row],[Max Package Thermal Density (W/cm2)]],#N/A)</f>
        <v>#N/A</v>
      </c>
      <c r="AE56" s="1" t="e">
        <f>IF(AND(ISNUMBER((Table1[[#This Row],[Max Package Thermal Density (W/cm2)]])),Table1[[#This Row],[Frequency (GHz)]]&lt;20),Table1[[#This Row],[Max Package Thermal Density (W/cm2)]],#N/A)</f>
        <v>#N/A</v>
      </c>
      <c r="AF56" s="1" t="e">
        <f>IF(AND(ISNUMBER(Table1[[#This Row],[Max Package Thermal Density (W/cm2)]]),Table1[[#This Row],[Frequency (GHz)]]&gt;=20,Table1[[#This Row],[Frequency (GHz)]]&lt;50),Table1[[#This Row],[Max Package Thermal Density (W/cm2)]],#N/A)</f>
        <v>#N/A</v>
      </c>
      <c r="AG56" s="1" t="e">
        <f>IF(AND(ISNUMBER(Table1[[#This Row],[Max Package Thermal Density (W/cm2)]]),Table1[[#This Row],[Frequency (GHz)]]&gt;=50,Table1[[#This Row],[Frequency (GHz)]]&lt;75),Table1[[#This Row],[Max Package Thermal Density (W/cm2)]],#N/A)</f>
        <v>#N/A</v>
      </c>
      <c r="AH56" s="1" t="e">
        <f>IF(AND(ISNUMBER(Table1[[#This Row],[Max Package Thermal Density (W/cm2)]]),Table1[[#This Row],[Frequency (GHz)]]&gt;=75,Table1[[#This Row],[Frequency (GHz)]]&lt;110),Table1[[#This Row],[Max Package Thermal Density (W/cm2)]],#N/A)</f>
        <v>#N/A</v>
      </c>
      <c r="AI56" s="1" t="e">
        <f>IF(AND(ISNUMBER(Table1[[#This Row],[Max Package Thermal Density (W/cm2)]]),Table1[[#This Row],[Frequency (GHz)]]&gt;=110,Table1[[#This Row],[Frequency (GHz)]]&lt;170),Table1[[#This Row],[Max Package Thermal Density (W/cm2)]],#N/A)</f>
        <v>#N/A</v>
      </c>
      <c r="AJ56" s="1" t="e">
        <f>IF(AND(ISNUMBER(Table1[[#This Row],[Max Package Thermal Density (W/cm2)]]),Table1[[#This Row],[Frequency (GHz)]]&gt;=170,Table1[[#This Row],[Frequency (GHz)]]&lt;260),Table1[[#This Row],[Max Package Thermal Density (W/cm2)]],#N/A)</f>
        <v>#N/A</v>
      </c>
      <c r="AK56" s="1" t="e">
        <f>IF(AND(ISNUMBER(Table1[[#This Row],[Max Package Thermal Density (W/cm2)]]),Table1[[#This Row],[Frequency (GHz)]]&gt;=260),Table1[[#This Row],[Max Package Thermal Density (W/cm2)]],#N/A)</f>
        <v>#N/A</v>
      </c>
      <c r="AN56" s="1">
        <f>IF(ISNUMBER(Table1[[#This Row],[Max Chip Thermal Density (W/cm2)]]),Table1[[#This Row],[Max Chip Thermal Density (W/cm2)]],#N/A)</f>
        <v>10.833333333333334</v>
      </c>
      <c r="AO56" s="1" t="e">
        <f>IF(AND(ISNUMBER((Table1[[#This Row],[Max Chip Thermal Density (W/cm2)]])),Table1[[#This Row],[Frequency (GHz)]]&lt;20),Table1[[#This Row],[Max Chip Thermal Density (W/cm2)]],#N/A)</f>
        <v>#N/A</v>
      </c>
      <c r="AP56" s="1" t="e">
        <f>IF(AND(ISNUMBER(Table1[[#This Row],[Max Chip Thermal Density (W/cm2)]]),Table1[[#This Row],[Frequency (GHz)]]&gt;=20,Table1[[#This Row],[Frequency (GHz)]]&lt;50),Table1[[#This Row],[Max Chip Thermal Density (W/cm2)]],#N/A)</f>
        <v>#N/A</v>
      </c>
      <c r="AQ56" s="1" t="e">
        <f>IF(AND(ISNUMBER(Table1[[#This Row],[Max Chip Thermal Density (W/cm2)]]),Table1[[#This Row],[Frequency (GHz)]]&gt;=50,Table1[[#This Row],[Frequency (GHz)]]&lt;75),Table1[[#This Row],[Max Chip Thermal Density (W/cm2)]],#N/A)</f>
        <v>#N/A</v>
      </c>
      <c r="AR56" s="1" t="e">
        <f>IF(AND(ISNUMBER(Table1[[#This Row],[Max Chip Thermal Density (W/cm2)]]),Table1[[#This Row],[Frequency (GHz)]]&gt;=75,Table1[[#This Row],[Frequency (GHz)]]&lt;110),Table1[[#This Row],[Max Chip Thermal Density (W/cm2)]],#N/A)</f>
        <v>#N/A</v>
      </c>
      <c r="AS56" s="1" t="e">
        <f>IF(AND(ISNUMBER(Table1[[#This Row],[Max Chip Thermal Density (W/cm2)]]),Table1[[#This Row],[Frequency (GHz)]]&gt;=110,Table1[[#This Row],[Frequency (GHz)]]&lt;170),Table1[[#This Row],[Max Chip Thermal Density (W/cm2)]],#N/A)</f>
        <v>#N/A</v>
      </c>
      <c r="AT56" s="1" t="e">
        <f>IF(AND(ISNUMBER(Table1[[#This Row],[Max Chip Thermal Density (W/cm2)]]),Table1[[#This Row],[Frequency (GHz)]]&gt;=170,Table1[[#This Row],[Frequency (GHz)]]&lt;260),Table1[[#This Row],[Max Chip Thermal Density (W/cm2)]],#N/A)</f>
        <v>#N/A</v>
      </c>
      <c r="AU56" s="1">
        <f>IF(AND(ISNUMBER(Table1[[#This Row],[Max Chip Thermal Density (W/cm2)]]),Table1[[#This Row],[Frequency (GHz)]]&gt;=260),Table1[[#This Row],[Max Chip Thermal Density (W/cm2)]],#N/A)</f>
        <v>10.833333333333334</v>
      </c>
    </row>
    <row r="57" spans="1:47" x14ac:dyDescent="0.2">
      <c r="A57" s="25">
        <f>IF(ISNUMBER(Table1[[#This Row],[Total Pout/Prad (dBm)]]),Table1[[#This Row],[Total Pout/Prad (dBm)]],#N/A)</f>
        <v>-5.4</v>
      </c>
      <c r="B57" s="1">
        <f>IF(ISNUMBER(Table1[[#This Row],[Total Pout/Prad (dBm)]]),Table1[[#This Row],[Total '# of TX Elements]],#N/A)</f>
        <v>1</v>
      </c>
      <c r="C57" s="1" t="e">
        <f>IF(ISNUMBER(Table1[[#This Row],[TX EIRP (dBm)]]),Table1[[#This Row],[TX EIRP (dBm)]],#N/A)</f>
        <v>#N/A</v>
      </c>
      <c r="D57" s="1">
        <f>Table1[[#This Row],[TX Pdc (W)]]</f>
        <v>0.114</v>
      </c>
      <c r="E57"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57" s="1">
        <f t="shared" si="0"/>
        <v>0.25298521957250925</v>
      </c>
      <c r="G57" s="1" t="e">
        <f t="shared" si="1"/>
        <v>#N/A</v>
      </c>
      <c r="L57" s="1" t="e">
        <f>IF(Table1[[#This Row],[Frequency (GHz)]]&lt;20,Plot_Data_Power!F57,#N/A)</f>
        <v>#N/A</v>
      </c>
      <c r="M57" s="1" t="e">
        <f>IF(AND(Table1[[#This Row],[Frequency (GHz)]]&gt;=20,Table1[[#This Row],[Frequency (GHz)]]&lt;50),Plot_Data_Power!F57,#N/A)</f>
        <v>#N/A</v>
      </c>
      <c r="N57" s="1" t="e">
        <f>IF(AND(Table1[[#This Row],[Frequency (GHz)]]&gt;=50,Table1[[#This Row],[Frequency (GHz)]]&lt;75),Plot_Data_Power!F57,#N/A)</f>
        <v>#N/A</v>
      </c>
      <c r="O57" s="1" t="e">
        <f>IF(AND(Table1[[#This Row],[Frequency (GHz)]]&gt;=75,Table1[[#This Row],[Frequency (GHz)]]&lt;110),Plot_Data_Power!F57,#N/A)</f>
        <v>#N/A</v>
      </c>
      <c r="P57" s="1" t="e">
        <f>IF(AND(Table1[[#This Row],[Frequency (GHz)]]&gt;=110,Table1[[#This Row],[Frequency (GHz)]]&lt;170),Plot_Data_Power!F57,#N/A)</f>
        <v>#N/A</v>
      </c>
      <c r="Q57" s="1" t="e">
        <f>IF(AND(Table1[[#This Row],[Frequency (GHz)]]&gt;=170,Table1[[#This Row],[Frequency (GHz)]]&lt;260),Plot_Data_Power!F57,#N/A)</f>
        <v>#N/A</v>
      </c>
      <c r="R57" s="1">
        <f>IF(Table1[[#This Row],[Frequency (GHz)]]&gt;=260,Plot_Data_Power!F57,#N/A)</f>
        <v>0.25298521957250925</v>
      </c>
      <c r="U57" s="1" t="e">
        <f>IF(Table1[[#This Row],[Frequency (GHz)]]&lt;20,Plot_Data_Power!G57,#N/A)</f>
        <v>#N/A</v>
      </c>
      <c r="V57" s="1" t="e">
        <f>IF(AND(Table1[[#This Row],[Frequency (GHz)]]&gt;=20,Table1[[#This Row],[Frequency (GHz)]]&lt;50),Plot_Data_Power!G57,#N/A)</f>
        <v>#N/A</v>
      </c>
      <c r="W57" s="1" t="e">
        <f>IF(AND(Table1[[#This Row],[Frequency (GHz)]]&gt;=50,Table1[[#This Row],[Frequency (GHz)]]&lt;75),Plot_Data_Power!G57,#N/A)</f>
        <v>#N/A</v>
      </c>
      <c r="X57" s="1" t="e">
        <f>IF(AND(Table1[[#This Row],[Frequency (GHz)]]&gt;=75,Table1[[#This Row],[Frequency (GHz)]]&lt;110),Plot_Data_Power!G57,#N/A)</f>
        <v>#N/A</v>
      </c>
      <c r="Y57" s="1" t="e">
        <f>IF(AND(Table1[[#This Row],[Frequency (GHz)]]&gt;=110,Table1[[#This Row],[Frequency (GHz)]]&lt;170),Plot_Data_Power!G57,#N/A)</f>
        <v>#N/A</v>
      </c>
      <c r="Z57" s="1" t="e">
        <f>IF(AND(Table1[[#This Row],[Frequency (GHz)]]&gt;=170,Table1[[#This Row],[Frequency (GHz)]]&lt;260),Plot_Data_Power!G57,#N/A)</f>
        <v>#N/A</v>
      </c>
      <c r="AA57" s="1" t="e">
        <f>IF(Table1[[#This Row],[Frequency (GHz)]]&gt;=260,Plot_Data_Power!G57,#N/A)</f>
        <v>#N/A</v>
      </c>
      <c r="AD57" s="1" t="e">
        <f>IF(ISNUMBER(Table1[[#This Row],[Max Package Thermal Density (W/cm2)]]),Table1[[#This Row],[Max Package Thermal Density (W/cm2)]],#N/A)</f>
        <v>#N/A</v>
      </c>
      <c r="AE57" s="1" t="e">
        <f>IF(AND(ISNUMBER((Table1[[#This Row],[Max Package Thermal Density (W/cm2)]])),Table1[[#This Row],[Frequency (GHz)]]&lt;20),Table1[[#This Row],[Max Package Thermal Density (W/cm2)]],#N/A)</f>
        <v>#N/A</v>
      </c>
      <c r="AF57" s="1" t="e">
        <f>IF(AND(ISNUMBER(Table1[[#This Row],[Max Package Thermal Density (W/cm2)]]),Table1[[#This Row],[Frequency (GHz)]]&gt;=20,Table1[[#This Row],[Frequency (GHz)]]&lt;50),Table1[[#This Row],[Max Package Thermal Density (W/cm2)]],#N/A)</f>
        <v>#N/A</v>
      </c>
      <c r="AG57" s="1" t="e">
        <f>IF(AND(ISNUMBER(Table1[[#This Row],[Max Package Thermal Density (W/cm2)]]),Table1[[#This Row],[Frequency (GHz)]]&gt;=50,Table1[[#This Row],[Frequency (GHz)]]&lt;75),Table1[[#This Row],[Max Package Thermal Density (W/cm2)]],#N/A)</f>
        <v>#N/A</v>
      </c>
      <c r="AH57" s="1" t="e">
        <f>IF(AND(ISNUMBER(Table1[[#This Row],[Max Package Thermal Density (W/cm2)]]),Table1[[#This Row],[Frequency (GHz)]]&gt;=75,Table1[[#This Row],[Frequency (GHz)]]&lt;110),Table1[[#This Row],[Max Package Thermal Density (W/cm2)]],#N/A)</f>
        <v>#N/A</v>
      </c>
      <c r="AI57" s="1" t="e">
        <f>IF(AND(ISNUMBER(Table1[[#This Row],[Max Package Thermal Density (W/cm2)]]),Table1[[#This Row],[Frequency (GHz)]]&gt;=110,Table1[[#This Row],[Frequency (GHz)]]&lt;170),Table1[[#This Row],[Max Package Thermal Density (W/cm2)]],#N/A)</f>
        <v>#N/A</v>
      </c>
      <c r="AJ57" s="1" t="e">
        <f>IF(AND(ISNUMBER(Table1[[#This Row],[Max Package Thermal Density (W/cm2)]]),Table1[[#This Row],[Frequency (GHz)]]&gt;=170,Table1[[#This Row],[Frequency (GHz)]]&lt;260),Table1[[#This Row],[Max Package Thermal Density (W/cm2)]],#N/A)</f>
        <v>#N/A</v>
      </c>
      <c r="AK57" s="1" t="e">
        <f>IF(AND(ISNUMBER(Table1[[#This Row],[Max Package Thermal Density (W/cm2)]]),Table1[[#This Row],[Frequency (GHz)]]&gt;=260),Table1[[#This Row],[Max Package Thermal Density (W/cm2)]],#N/A)</f>
        <v>#N/A</v>
      </c>
      <c r="AN57" s="1">
        <f>IF(ISNUMBER(Table1[[#This Row],[Max Chip Thermal Density (W/cm2)]]),Table1[[#This Row],[Max Chip Thermal Density (W/cm2)]],#N/A)</f>
        <v>29.320987654320987</v>
      </c>
      <c r="AO57" s="1" t="e">
        <f>IF(AND(ISNUMBER((Table1[[#This Row],[Max Chip Thermal Density (W/cm2)]])),Table1[[#This Row],[Frequency (GHz)]]&lt;20),Table1[[#This Row],[Max Chip Thermal Density (W/cm2)]],#N/A)</f>
        <v>#N/A</v>
      </c>
      <c r="AP57" s="1" t="e">
        <f>IF(AND(ISNUMBER(Table1[[#This Row],[Max Chip Thermal Density (W/cm2)]]),Table1[[#This Row],[Frequency (GHz)]]&gt;=20,Table1[[#This Row],[Frequency (GHz)]]&lt;50),Table1[[#This Row],[Max Chip Thermal Density (W/cm2)]],#N/A)</f>
        <v>#N/A</v>
      </c>
      <c r="AQ57" s="1" t="e">
        <f>IF(AND(ISNUMBER(Table1[[#This Row],[Max Chip Thermal Density (W/cm2)]]),Table1[[#This Row],[Frequency (GHz)]]&gt;=50,Table1[[#This Row],[Frequency (GHz)]]&lt;75),Table1[[#This Row],[Max Chip Thermal Density (W/cm2)]],#N/A)</f>
        <v>#N/A</v>
      </c>
      <c r="AR57" s="1" t="e">
        <f>IF(AND(ISNUMBER(Table1[[#This Row],[Max Chip Thermal Density (W/cm2)]]),Table1[[#This Row],[Frequency (GHz)]]&gt;=75,Table1[[#This Row],[Frequency (GHz)]]&lt;110),Table1[[#This Row],[Max Chip Thermal Density (W/cm2)]],#N/A)</f>
        <v>#N/A</v>
      </c>
      <c r="AS57" s="1" t="e">
        <f>IF(AND(ISNUMBER(Table1[[#This Row],[Max Chip Thermal Density (W/cm2)]]),Table1[[#This Row],[Frequency (GHz)]]&gt;=110,Table1[[#This Row],[Frequency (GHz)]]&lt;170),Table1[[#This Row],[Max Chip Thermal Density (W/cm2)]],#N/A)</f>
        <v>#N/A</v>
      </c>
      <c r="AT57" s="1" t="e">
        <f>IF(AND(ISNUMBER(Table1[[#This Row],[Max Chip Thermal Density (W/cm2)]]),Table1[[#This Row],[Frequency (GHz)]]&gt;=170,Table1[[#This Row],[Frequency (GHz)]]&lt;260),Table1[[#This Row],[Max Chip Thermal Density (W/cm2)]],#N/A)</f>
        <v>#N/A</v>
      </c>
      <c r="AU57" s="1">
        <f>IF(AND(ISNUMBER(Table1[[#This Row],[Max Chip Thermal Density (W/cm2)]]),Table1[[#This Row],[Frequency (GHz)]]&gt;=260),Table1[[#This Row],[Max Chip Thermal Density (W/cm2)]],#N/A)</f>
        <v>29.320987654320987</v>
      </c>
    </row>
    <row r="58" spans="1:47" x14ac:dyDescent="0.2">
      <c r="A58" s="25">
        <f>IF(ISNUMBER(Table1[[#This Row],[Total Pout/Prad (dBm)]]),Table1[[#This Row],[Total Pout/Prad (dBm)]],#N/A)</f>
        <v>30.872099696478688</v>
      </c>
      <c r="B58" s="1">
        <f>IF(ISNUMBER(Table1[[#This Row],[Total Pout/Prad (dBm)]]),Table1[[#This Row],[Total '# of TX Elements]],#N/A)</f>
        <v>128</v>
      </c>
      <c r="C58" s="1" t="e">
        <f>IF(ISNUMBER(Table1[[#This Row],[TX EIRP (dBm)]]),Table1[[#This Row],[TX EIRP (dBm)]],#N/A)</f>
        <v>#N/A</v>
      </c>
      <c r="D58" s="1">
        <f>Table1[[#This Row],[TX Pdc (W)]]</f>
        <v>42.24</v>
      </c>
      <c r="E58"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58" s="1">
        <f t="shared" si="0"/>
        <v>2.8939169273376901</v>
      </c>
      <c r="G58" s="1" t="e">
        <f t="shared" si="1"/>
        <v>#N/A</v>
      </c>
      <c r="L58" s="1" t="e">
        <f>IF(Table1[[#This Row],[Frequency (GHz)]]&lt;20,Plot_Data_Power!F58,#N/A)</f>
        <v>#N/A</v>
      </c>
      <c r="M58" s="1" t="e">
        <f>IF(AND(Table1[[#This Row],[Frequency (GHz)]]&gt;=20,Table1[[#This Row],[Frequency (GHz)]]&lt;50),Plot_Data_Power!F58,#N/A)</f>
        <v>#N/A</v>
      </c>
      <c r="N58" s="1" t="e">
        <f>IF(AND(Table1[[#This Row],[Frequency (GHz)]]&gt;=50,Table1[[#This Row],[Frequency (GHz)]]&lt;75),Plot_Data_Power!F58,#N/A)</f>
        <v>#N/A</v>
      </c>
      <c r="O58" s="1" t="e">
        <f>IF(AND(Table1[[#This Row],[Frequency (GHz)]]&gt;=75,Table1[[#This Row],[Frequency (GHz)]]&lt;110),Plot_Data_Power!F58,#N/A)</f>
        <v>#N/A</v>
      </c>
      <c r="P58" s="1">
        <f>IF(AND(Table1[[#This Row],[Frequency (GHz)]]&gt;=110,Table1[[#This Row],[Frequency (GHz)]]&lt;170),Plot_Data_Power!F58,#N/A)</f>
        <v>2.8939169273376901</v>
      </c>
      <c r="Q58" s="1" t="e">
        <f>IF(AND(Table1[[#This Row],[Frequency (GHz)]]&gt;=170,Table1[[#This Row],[Frequency (GHz)]]&lt;260),Plot_Data_Power!F58,#N/A)</f>
        <v>#N/A</v>
      </c>
      <c r="R58" s="1" t="e">
        <f>IF(Table1[[#This Row],[Frequency (GHz)]]&gt;=260,Plot_Data_Power!F58,#N/A)</f>
        <v>#N/A</v>
      </c>
      <c r="U58" s="1" t="e">
        <f>IF(Table1[[#This Row],[Frequency (GHz)]]&lt;20,Plot_Data_Power!G58,#N/A)</f>
        <v>#N/A</v>
      </c>
      <c r="V58" s="1" t="e">
        <f>IF(AND(Table1[[#This Row],[Frequency (GHz)]]&gt;=20,Table1[[#This Row],[Frequency (GHz)]]&lt;50),Plot_Data_Power!G58,#N/A)</f>
        <v>#N/A</v>
      </c>
      <c r="W58" s="1" t="e">
        <f>IF(AND(Table1[[#This Row],[Frequency (GHz)]]&gt;=50,Table1[[#This Row],[Frequency (GHz)]]&lt;75),Plot_Data_Power!G58,#N/A)</f>
        <v>#N/A</v>
      </c>
      <c r="X58" s="1" t="e">
        <f>IF(AND(Table1[[#This Row],[Frequency (GHz)]]&gt;=75,Table1[[#This Row],[Frequency (GHz)]]&lt;110),Plot_Data_Power!G58,#N/A)</f>
        <v>#N/A</v>
      </c>
      <c r="Y58" s="1" t="e">
        <f>IF(AND(Table1[[#This Row],[Frequency (GHz)]]&gt;=110,Table1[[#This Row],[Frequency (GHz)]]&lt;170),Plot_Data_Power!G58,#N/A)</f>
        <v>#N/A</v>
      </c>
      <c r="Z58" s="1" t="e">
        <f>IF(AND(Table1[[#This Row],[Frequency (GHz)]]&gt;=170,Table1[[#This Row],[Frequency (GHz)]]&lt;260),Plot_Data_Power!G58,#N/A)</f>
        <v>#N/A</v>
      </c>
      <c r="AA58" s="1" t="e">
        <f>IF(Table1[[#This Row],[Frequency (GHz)]]&gt;=260,Plot_Data_Power!G58,#N/A)</f>
        <v>#N/A</v>
      </c>
      <c r="AD58" s="1" t="e">
        <f>IF(ISNUMBER(Table1[[#This Row],[Max Package Thermal Density (W/cm2)]]),Table1[[#This Row],[Max Package Thermal Density (W/cm2)]],#N/A)</f>
        <v>#N/A</v>
      </c>
      <c r="AE58" s="1" t="e">
        <f>IF(AND(ISNUMBER((Table1[[#This Row],[Max Package Thermal Density (W/cm2)]])),Table1[[#This Row],[Frequency (GHz)]]&lt;20),Table1[[#This Row],[Max Package Thermal Density (W/cm2)]],#N/A)</f>
        <v>#N/A</v>
      </c>
      <c r="AF58" s="1" t="e">
        <f>IF(AND(ISNUMBER(Table1[[#This Row],[Max Package Thermal Density (W/cm2)]]),Table1[[#This Row],[Frequency (GHz)]]&gt;=20,Table1[[#This Row],[Frequency (GHz)]]&lt;50),Table1[[#This Row],[Max Package Thermal Density (W/cm2)]],#N/A)</f>
        <v>#N/A</v>
      </c>
      <c r="AG58" s="1" t="e">
        <f>IF(AND(ISNUMBER(Table1[[#This Row],[Max Package Thermal Density (W/cm2)]]),Table1[[#This Row],[Frequency (GHz)]]&gt;=50,Table1[[#This Row],[Frequency (GHz)]]&lt;75),Table1[[#This Row],[Max Package Thermal Density (W/cm2)]],#N/A)</f>
        <v>#N/A</v>
      </c>
      <c r="AH58" s="1" t="e">
        <f>IF(AND(ISNUMBER(Table1[[#This Row],[Max Package Thermal Density (W/cm2)]]),Table1[[#This Row],[Frequency (GHz)]]&gt;=75,Table1[[#This Row],[Frequency (GHz)]]&lt;110),Table1[[#This Row],[Max Package Thermal Density (W/cm2)]],#N/A)</f>
        <v>#N/A</v>
      </c>
      <c r="AI58" s="1" t="e">
        <f>IF(AND(ISNUMBER(Table1[[#This Row],[Max Package Thermal Density (W/cm2)]]),Table1[[#This Row],[Frequency (GHz)]]&gt;=110,Table1[[#This Row],[Frequency (GHz)]]&lt;170),Table1[[#This Row],[Max Package Thermal Density (W/cm2)]],#N/A)</f>
        <v>#N/A</v>
      </c>
      <c r="AJ58" s="1" t="e">
        <f>IF(AND(ISNUMBER(Table1[[#This Row],[Max Package Thermal Density (W/cm2)]]),Table1[[#This Row],[Frequency (GHz)]]&gt;=170,Table1[[#This Row],[Frequency (GHz)]]&lt;260),Table1[[#This Row],[Max Package Thermal Density (W/cm2)]],#N/A)</f>
        <v>#N/A</v>
      </c>
      <c r="AK58" s="1" t="e">
        <f>IF(AND(ISNUMBER(Table1[[#This Row],[Max Package Thermal Density (W/cm2)]]),Table1[[#This Row],[Frequency (GHz)]]&gt;=260),Table1[[#This Row],[Max Package Thermal Density (W/cm2)]],#N/A)</f>
        <v>#N/A</v>
      </c>
      <c r="AN58" s="1">
        <f>IF(ISNUMBER(Table1[[#This Row],[Max Chip Thermal Density (W/cm2)]]),Table1[[#This Row],[Max Chip Thermal Density (W/cm2)]],#N/A)</f>
        <v>16.78876678876679</v>
      </c>
      <c r="AO58" s="1" t="e">
        <f>IF(AND(ISNUMBER((Table1[[#This Row],[Max Chip Thermal Density (W/cm2)]])),Table1[[#This Row],[Frequency (GHz)]]&lt;20),Table1[[#This Row],[Max Chip Thermal Density (W/cm2)]],#N/A)</f>
        <v>#N/A</v>
      </c>
      <c r="AP58" s="1" t="e">
        <f>IF(AND(ISNUMBER(Table1[[#This Row],[Max Chip Thermal Density (W/cm2)]]),Table1[[#This Row],[Frequency (GHz)]]&gt;=20,Table1[[#This Row],[Frequency (GHz)]]&lt;50),Table1[[#This Row],[Max Chip Thermal Density (W/cm2)]],#N/A)</f>
        <v>#N/A</v>
      </c>
      <c r="AQ58" s="1" t="e">
        <f>IF(AND(ISNUMBER(Table1[[#This Row],[Max Chip Thermal Density (W/cm2)]]),Table1[[#This Row],[Frequency (GHz)]]&gt;=50,Table1[[#This Row],[Frequency (GHz)]]&lt;75),Table1[[#This Row],[Max Chip Thermal Density (W/cm2)]],#N/A)</f>
        <v>#N/A</v>
      </c>
      <c r="AR58" s="1" t="e">
        <f>IF(AND(ISNUMBER(Table1[[#This Row],[Max Chip Thermal Density (W/cm2)]]),Table1[[#This Row],[Frequency (GHz)]]&gt;=75,Table1[[#This Row],[Frequency (GHz)]]&lt;110),Table1[[#This Row],[Max Chip Thermal Density (W/cm2)]],#N/A)</f>
        <v>#N/A</v>
      </c>
      <c r="AS58" s="1">
        <f>IF(AND(ISNUMBER(Table1[[#This Row],[Max Chip Thermal Density (W/cm2)]]),Table1[[#This Row],[Frequency (GHz)]]&gt;=110,Table1[[#This Row],[Frequency (GHz)]]&lt;170),Table1[[#This Row],[Max Chip Thermal Density (W/cm2)]],#N/A)</f>
        <v>16.78876678876679</v>
      </c>
      <c r="AT58" s="1" t="e">
        <f>IF(AND(ISNUMBER(Table1[[#This Row],[Max Chip Thermal Density (W/cm2)]]),Table1[[#This Row],[Frequency (GHz)]]&gt;=170,Table1[[#This Row],[Frequency (GHz)]]&lt;260),Table1[[#This Row],[Max Chip Thermal Density (W/cm2)]],#N/A)</f>
        <v>#N/A</v>
      </c>
      <c r="AU58" s="1" t="e">
        <f>IF(AND(ISNUMBER(Table1[[#This Row],[Max Chip Thermal Density (W/cm2)]]),Table1[[#This Row],[Frequency (GHz)]]&gt;=260),Table1[[#This Row],[Max Chip Thermal Density (W/cm2)]],#N/A)</f>
        <v>#N/A</v>
      </c>
    </row>
    <row r="59" spans="1:47" x14ac:dyDescent="0.2">
      <c r="A59" s="25" t="e">
        <f>IF(ISNUMBER(Table1[[#This Row],[Total Pout/Prad (dBm)]]),Table1[[#This Row],[Total Pout/Prad (dBm)]],#N/A)</f>
        <v>#N/A</v>
      </c>
      <c r="B59" s="1" t="e">
        <f>IF(ISNUMBER(Table1[[#This Row],[Total Pout/Prad (dBm)]]),Table1[[#This Row],[Total '# of TX Elements]],#N/A)</f>
        <v>#N/A</v>
      </c>
      <c r="C59" s="1" t="e">
        <f>IF(ISNUMBER(Table1[[#This Row],[TX EIRP (dBm)]]),Table1[[#This Row],[TX EIRP (dBm)]],#N/A)</f>
        <v>#N/A</v>
      </c>
      <c r="D59" s="1" t="str">
        <f>Table1[[#This Row],[TX Pdc (W)]]</f>
        <v>N/A</v>
      </c>
      <c r="E59"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59" s="1" t="e">
        <f t="shared" si="0"/>
        <v>#N/A</v>
      </c>
      <c r="G59" s="1" t="e">
        <f t="shared" si="1"/>
        <v>#N/A</v>
      </c>
      <c r="L59" s="1" t="e">
        <f>IF(Table1[[#This Row],[Frequency (GHz)]]&lt;20,Plot_Data_Power!F59,#N/A)</f>
        <v>#N/A</v>
      </c>
      <c r="M59" s="1" t="e">
        <f>IF(AND(Table1[[#This Row],[Frequency (GHz)]]&gt;=20,Table1[[#This Row],[Frequency (GHz)]]&lt;50),Plot_Data_Power!F59,#N/A)</f>
        <v>#N/A</v>
      </c>
      <c r="N59" s="1" t="e">
        <f>IF(AND(Table1[[#This Row],[Frequency (GHz)]]&gt;=50,Table1[[#This Row],[Frequency (GHz)]]&lt;75),Plot_Data_Power!F59,#N/A)</f>
        <v>#N/A</v>
      </c>
      <c r="O59" s="1" t="e">
        <f>IF(AND(Table1[[#This Row],[Frequency (GHz)]]&gt;=75,Table1[[#This Row],[Frequency (GHz)]]&lt;110),Plot_Data_Power!F59,#N/A)</f>
        <v>#N/A</v>
      </c>
      <c r="P59" s="1" t="e">
        <f>IF(AND(Table1[[#This Row],[Frequency (GHz)]]&gt;=110,Table1[[#This Row],[Frequency (GHz)]]&lt;170),Plot_Data_Power!F59,#N/A)</f>
        <v>#N/A</v>
      </c>
      <c r="Q59" s="1" t="e">
        <f>IF(AND(Table1[[#This Row],[Frequency (GHz)]]&gt;=170,Table1[[#This Row],[Frequency (GHz)]]&lt;260),Plot_Data_Power!F59,#N/A)</f>
        <v>#N/A</v>
      </c>
      <c r="R59" s="1" t="e">
        <f>IF(Table1[[#This Row],[Frequency (GHz)]]&gt;=260,Plot_Data_Power!F59,#N/A)</f>
        <v>#N/A</v>
      </c>
      <c r="U59" s="1" t="e">
        <f>IF(Table1[[#This Row],[Frequency (GHz)]]&lt;20,Plot_Data_Power!G59,#N/A)</f>
        <v>#N/A</v>
      </c>
      <c r="V59" s="1" t="e">
        <f>IF(AND(Table1[[#This Row],[Frequency (GHz)]]&gt;=20,Table1[[#This Row],[Frequency (GHz)]]&lt;50),Plot_Data_Power!G59,#N/A)</f>
        <v>#N/A</v>
      </c>
      <c r="W59" s="1" t="e">
        <f>IF(AND(Table1[[#This Row],[Frequency (GHz)]]&gt;=50,Table1[[#This Row],[Frequency (GHz)]]&lt;75),Plot_Data_Power!G59,#N/A)</f>
        <v>#N/A</v>
      </c>
      <c r="X59" s="1" t="e">
        <f>IF(AND(Table1[[#This Row],[Frequency (GHz)]]&gt;=75,Table1[[#This Row],[Frequency (GHz)]]&lt;110),Plot_Data_Power!G59,#N/A)</f>
        <v>#N/A</v>
      </c>
      <c r="Y59" s="1" t="e">
        <f>IF(AND(Table1[[#This Row],[Frequency (GHz)]]&gt;=110,Table1[[#This Row],[Frequency (GHz)]]&lt;170),Plot_Data_Power!G59,#N/A)</f>
        <v>#N/A</v>
      </c>
      <c r="Z59" s="1" t="e">
        <f>IF(AND(Table1[[#This Row],[Frequency (GHz)]]&gt;=170,Table1[[#This Row],[Frequency (GHz)]]&lt;260),Plot_Data_Power!G59,#N/A)</f>
        <v>#N/A</v>
      </c>
      <c r="AA59" s="1" t="e">
        <f>IF(Table1[[#This Row],[Frequency (GHz)]]&gt;=260,Plot_Data_Power!G59,#N/A)</f>
        <v>#N/A</v>
      </c>
      <c r="AD59" s="1" t="e">
        <f>IF(ISNUMBER(Table1[[#This Row],[Max Package Thermal Density (W/cm2)]]),Table1[[#This Row],[Max Package Thermal Density (W/cm2)]],#N/A)</f>
        <v>#N/A</v>
      </c>
      <c r="AE59" s="1" t="e">
        <f>IF(AND(ISNUMBER((Table1[[#This Row],[Max Package Thermal Density (W/cm2)]])),Table1[[#This Row],[Frequency (GHz)]]&lt;20),Table1[[#This Row],[Max Package Thermal Density (W/cm2)]],#N/A)</f>
        <v>#N/A</v>
      </c>
      <c r="AF59" s="1" t="e">
        <f>IF(AND(ISNUMBER(Table1[[#This Row],[Max Package Thermal Density (W/cm2)]]),Table1[[#This Row],[Frequency (GHz)]]&gt;=20,Table1[[#This Row],[Frequency (GHz)]]&lt;50),Table1[[#This Row],[Max Package Thermal Density (W/cm2)]],#N/A)</f>
        <v>#N/A</v>
      </c>
      <c r="AG59" s="1" t="e">
        <f>IF(AND(ISNUMBER(Table1[[#This Row],[Max Package Thermal Density (W/cm2)]]),Table1[[#This Row],[Frequency (GHz)]]&gt;=50,Table1[[#This Row],[Frequency (GHz)]]&lt;75),Table1[[#This Row],[Max Package Thermal Density (W/cm2)]],#N/A)</f>
        <v>#N/A</v>
      </c>
      <c r="AH59" s="1" t="e">
        <f>IF(AND(ISNUMBER(Table1[[#This Row],[Max Package Thermal Density (W/cm2)]]),Table1[[#This Row],[Frequency (GHz)]]&gt;=75,Table1[[#This Row],[Frequency (GHz)]]&lt;110),Table1[[#This Row],[Max Package Thermal Density (W/cm2)]],#N/A)</f>
        <v>#N/A</v>
      </c>
      <c r="AI59" s="1" t="e">
        <f>IF(AND(ISNUMBER(Table1[[#This Row],[Max Package Thermal Density (W/cm2)]]),Table1[[#This Row],[Frequency (GHz)]]&gt;=110,Table1[[#This Row],[Frequency (GHz)]]&lt;170),Table1[[#This Row],[Max Package Thermal Density (W/cm2)]],#N/A)</f>
        <v>#N/A</v>
      </c>
      <c r="AJ59" s="1" t="e">
        <f>IF(AND(ISNUMBER(Table1[[#This Row],[Max Package Thermal Density (W/cm2)]]),Table1[[#This Row],[Frequency (GHz)]]&gt;=170,Table1[[#This Row],[Frequency (GHz)]]&lt;260),Table1[[#This Row],[Max Package Thermal Density (W/cm2)]],#N/A)</f>
        <v>#N/A</v>
      </c>
      <c r="AK59" s="1" t="e">
        <f>IF(AND(ISNUMBER(Table1[[#This Row],[Max Package Thermal Density (W/cm2)]]),Table1[[#This Row],[Frequency (GHz)]]&gt;=260),Table1[[#This Row],[Max Package Thermal Density (W/cm2)]],#N/A)</f>
        <v>#N/A</v>
      </c>
      <c r="AN59" s="1">
        <f>IF(ISNUMBER(Table1[[#This Row],[Max Chip Thermal Density (W/cm2)]]),Table1[[#This Row],[Max Chip Thermal Density (W/cm2)]],#N/A)</f>
        <v>8.3943833943833948</v>
      </c>
      <c r="AO59" s="1" t="e">
        <f>IF(AND(ISNUMBER((Table1[[#This Row],[Max Chip Thermal Density (W/cm2)]])),Table1[[#This Row],[Frequency (GHz)]]&lt;20),Table1[[#This Row],[Max Chip Thermal Density (W/cm2)]],#N/A)</f>
        <v>#N/A</v>
      </c>
      <c r="AP59" s="1" t="e">
        <f>IF(AND(ISNUMBER(Table1[[#This Row],[Max Chip Thermal Density (W/cm2)]]),Table1[[#This Row],[Frequency (GHz)]]&gt;=20,Table1[[#This Row],[Frequency (GHz)]]&lt;50),Table1[[#This Row],[Max Chip Thermal Density (W/cm2)]],#N/A)</f>
        <v>#N/A</v>
      </c>
      <c r="AQ59" s="1" t="e">
        <f>IF(AND(ISNUMBER(Table1[[#This Row],[Max Chip Thermal Density (W/cm2)]]),Table1[[#This Row],[Frequency (GHz)]]&gt;=50,Table1[[#This Row],[Frequency (GHz)]]&lt;75),Table1[[#This Row],[Max Chip Thermal Density (W/cm2)]],#N/A)</f>
        <v>#N/A</v>
      </c>
      <c r="AR59" s="1" t="e">
        <f>IF(AND(ISNUMBER(Table1[[#This Row],[Max Chip Thermal Density (W/cm2)]]),Table1[[#This Row],[Frequency (GHz)]]&gt;=75,Table1[[#This Row],[Frequency (GHz)]]&lt;110),Table1[[#This Row],[Max Chip Thermal Density (W/cm2)]],#N/A)</f>
        <v>#N/A</v>
      </c>
      <c r="AS59" s="1">
        <f>IF(AND(ISNUMBER(Table1[[#This Row],[Max Chip Thermal Density (W/cm2)]]),Table1[[#This Row],[Frequency (GHz)]]&gt;=110,Table1[[#This Row],[Frequency (GHz)]]&lt;170),Table1[[#This Row],[Max Chip Thermal Density (W/cm2)]],#N/A)</f>
        <v>8.3943833943833948</v>
      </c>
      <c r="AT59" s="1" t="e">
        <f>IF(AND(ISNUMBER(Table1[[#This Row],[Max Chip Thermal Density (W/cm2)]]),Table1[[#This Row],[Frequency (GHz)]]&gt;=170,Table1[[#This Row],[Frequency (GHz)]]&lt;260),Table1[[#This Row],[Max Chip Thermal Density (W/cm2)]],#N/A)</f>
        <v>#N/A</v>
      </c>
      <c r="AU59" s="1" t="e">
        <f>IF(AND(ISNUMBER(Table1[[#This Row],[Max Chip Thermal Density (W/cm2)]]),Table1[[#This Row],[Frequency (GHz)]]&gt;=260),Table1[[#This Row],[Max Chip Thermal Density (W/cm2)]],#N/A)</f>
        <v>#N/A</v>
      </c>
    </row>
    <row r="60" spans="1:47" x14ac:dyDescent="0.2">
      <c r="A60" s="25">
        <f>IF(ISNUMBER(Table1[[#This Row],[Total Pout/Prad (dBm)]]),Table1[[#This Row],[Total Pout/Prad (dBm)]],#N/A)</f>
        <v>33.16179973983887</v>
      </c>
      <c r="B60" s="1">
        <f>IF(ISNUMBER(Table1[[#This Row],[Total Pout/Prad (dBm)]]),Table1[[#This Row],[Total '# of TX Elements]],#N/A)</f>
        <v>64</v>
      </c>
      <c r="C60" s="1">
        <f>IF(ISNUMBER(Table1[[#This Row],[TX EIRP (dBm)]]),Table1[[#This Row],[TX EIRP (dBm)]],#N/A)</f>
        <v>45.6</v>
      </c>
      <c r="D60" s="1">
        <f>Table1[[#This Row],[TX Pdc (W)]]</f>
        <v>16.128</v>
      </c>
      <c r="E60" s="1">
        <f>IF(ISNUMBER(Table1[[#This Row],[Array Aperture Size (cm2)]]),Table1[[#This Row],[Array Aperture Size (cm2)]],IF(Table1[[#This Row],[Antenna on (None, Chip, AiP, PCB)]]="Chip",Table1[[#This Row],[Chip Core Size - X (mm)]]*Table1[[#This Row],[Chip Core Size -Y (mm)]]/100*Table1[[#This Row],['# of IC per Tile]]*Table1[[#This Row],['# of Array Tile]],#N/A))</f>
        <v>33.6</v>
      </c>
      <c r="F60" s="1">
        <f t="shared" si="0"/>
        <v>12.841018132128113</v>
      </c>
      <c r="G60" s="1">
        <f t="shared" si="1"/>
        <v>225.12280181677971</v>
      </c>
      <c r="L60" s="1" t="e">
        <f>IF(Table1[[#This Row],[Frequency (GHz)]]&lt;20,Plot_Data_Power!F60,#N/A)</f>
        <v>#N/A</v>
      </c>
      <c r="M60" s="1">
        <f>IF(AND(Table1[[#This Row],[Frequency (GHz)]]&gt;=20,Table1[[#This Row],[Frequency (GHz)]]&lt;50),Plot_Data_Power!F60,#N/A)</f>
        <v>12.841018132128113</v>
      </c>
      <c r="N60" s="1" t="e">
        <f>IF(AND(Table1[[#This Row],[Frequency (GHz)]]&gt;=50,Table1[[#This Row],[Frequency (GHz)]]&lt;75),Plot_Data_Power!F60,#N/A)</f>
        <v>#N/A</v>
      </c>
      <c r="O60" s="1" t="e">
        <f>IF(AND(Table1[[#This Row],[Frequency (GHz)]]&gt;=75,Table1[[#This Row],[Frequency (GHz)]]&lt;110),Plot_Data_Power!F60,#N/A)</f>
        <v>#N/A</v>
      </c>
      <c r="P60" s="1" t="e">
        <f>IF(AND(Table1[[#This Row],[Frequency (GHz)]]&gt;=110,Table1[[#This Row],[Frequency (GHz)]]&lt;170),Plot_Data_Power!F60,#N/A)</f>
        <v>#N/A</v>
      </c>
      <c r="Q60" s="1" t="e">
        <f>IF(AND(Table1[[#This Row],[Frequency (GHz)]]&gt;=170,Table1[[#This Row],[Frequency (GHz)]]&lt;260),Plot_Data_Power!F60,#N/A)</f>
        <v>#N/A</v>
      </c>
      <c r="R60" s="1" t="e">
        <f>IF(Table1[[#This Row],[Frequency (GHz)]]&gt;=260,Plot_Data_Power!F60,#N/A)</f>
        <v>#N/A</v>
      </c>
      <c r="U60" s="1" t="e">
        <f>IF(Table1[[#This Row],[Frequency (GHz)]]&lt;20,Plot_Data_Power!G60,#N/A)</f>
        <v>#N/A</v>
      </c>
      <c r="V60" s="1">
        <f>IF(AND(Table1[[#This Row],[Frequency (GHz)]]&gt;=20,Table1[[#This Row],[Frequency (GHz)]]&lt;50),Plot_Data_Power!G60,#N/A)</f>
        <v>225.12280181677971</v>
      </c>
      <c r="W60" s="1" t="e">
        <f>IF(AND(Table1[[#This Row],[Frequency (GHz)]]&gt;=50,Table1[[#This Row],[Frequency (GHz)]]&lt;75),Plot_Data_Power!G60,#N/A)</f>
        <v>#N/A</v>
      </c>
      <c r="X60" s="1" t="e">
        <f>IF(AND(Table1[[#This Row],[Frequency (GHz)]]&gt;=75,Table1[[#This Row],[Frequency (GHz)]]&lt;110),Plot_Data_Power!G60,#N/A)</f>
        <v>#N/A</v>
      </c>
      <c r="Y60" s="1" t="e">
        <f>IF(AND(Table1[[#This Row],[Frequency (GHz)]]&gt;=110,Table1[[#This Row],[Frequency (GHz)]]&lt;170),Plot_Data_Power!G60,#N/A)</f>
        <v>#N/A</v>
      </c>
      <c r="Z60" s="1" t="e">
        <f>IF(AND(Table1[[#This Row],[Frequency (GHz)]]&gt;=170,Table1[[#This Row],[Frequency (GHz)]]&lt;260),Plot_Data_Power!G60,#N/A)</f>
        <v>#N/A</v>
      </c>
      <c r="AA60" s="1" t="e">
        <f>IF(Table1[[#This Row],[Frequency (GHz)]]&gt;=260,Plot_Data_Power!G60,#N/A)</f>
        <v>#N/A</v>
      </c>
      <c r="AD60" s="1">
        <f>IF(ISNUMBER(Table1[[#This Row],[Max Package Thermal Density (W/cm2)]]),Table1[[#This Row],[Max Package Thermal Density (W/cm2)]],#N/A)</f>
        <v>0.48</v>
      </c>
      <c r="AE60" s="1" t="e">
        <f>IF(AND(ISNUMBER((Table1[[#This Row],[Max Package Thermal Density (W/cm2)]])),Table1[[#This Row],[Frequency (GHz)]]&lt;20),Table1[[#This Row],[Max Package Thermal Density (W/cm2)]],#N/A)</f>
        <v>#N/A</v>
      </c>
      <c r="AF60" s="1">
        <f>IF(AND(ISNUMBER(Table1[[#This Row],[Max Package Thermal Density (W/cm2)]]),Table1[[#This Row],[Frequency (GHz)]]&gt;=20,Table1[[#This Row],[Frequency (GHz)]]&lt;50),Table1[[#This Row],[Max Package Thermal Density (W/cm2)]],#N/A)</f>
        <v>0.48</v>
      </c>
      <c r="AG60" s="1" t="e">
        <f>IF(AND(ISNUMBER(Table1[[#This Row],[Max Package Thermal Density (W/cm2)]]),Table1[[#This Row],[Frequency (GHz)]]&gt;=50,Table1[[#This Row],[Frequency (GHz)]]&lt;75),Table1[[#This Row],[Max Package Thermal Density (W/cm2)]],#N/A)</f>
        <v>#N/A</v>
      </c>
      <c r="AH60" s="1" t="e">
        <f>IF(AND(ISNUMBER(Table1[[#This Row],[Max Package Thermal Density (W/cm2)]]),Table1[[#This Row],[Frequency (GHz)]]&gt;=75,Table1[[#This Row],[Frequency (GHz)]]&lt;110),Table1[[#This Row],[Max Package Thermal Density (W/cm2)]],#N/A)</f>
        <v>#N/A</v>
      </c>
      <c r="AI60" s="1" t="e">
        <f>IF(AND(ISNUMBER(Table1[[#This Row],[Max Package Thermal Density (W/cm2)]]),Table1[[#This Row],[Frequency (GHz)]]&gt;=110,Table1[[#This Row],[Frequency (GHz)]]&lt;170),Table1[[#This Row],[Max Package Thermal Density (W/cm2)]],#N/A)</f>
        <v>#N/A</v>
      </c>
      <c r="AJ60" s="1" t="e">
        <f>IF(AND(ISNUMBER(Table1[[#This Row],[Max Package Thermal Density (W/cm2)]]),Table1[[#This Row],[Frequency (GHz)]]&gt;=170,Table1[[#This Row],[Frequency (GHz)]]&lt;260),Table1[[#This Row],[Max Package Thermal Density (W/cm2)]],#N/A)</f>
        <v>#N/A</v>
      </c>
      <c r="AK60" s="1" t="e">
        <f>IF(AND(ISNUMBER(Table1[[#This Row],[Max Package Thermal Density (W/cm2)]]),Table1[[#This Row],[Frequency (GHz)]]&gt;=260),Table1[[#This Row],[Max Package Thermal Density (W/cm2)]],#N/A)</f>
        <v>#N/A</v>
      </c>
      <c r="AN60" s="1">
        <f>IF(ISNUMBER(Table1[[#This Row],[Max Chip Thermal Density (W/cm2)]]),Table1[[#This Row],[Max Chip Thermal Density (W/cm2)]],#N/A)</f>
        <v>8.4</v>
      </c>
      <c r="AO60" s="1" t="e">
        <f>IF(AND(ISNUMBER((Table1[[#This Row],[Max Chip Thermal Density (W/cm2)]])),Table1[[#This Row],[Frequency (GHz)]]&lt;20),Table1[[#This Row],[Max Chip Thermal Density (W/cm2)]],#N/A)</f>
        <v>#N/A</v>
      </c>
      <c r="AP60" s="1">
        <f>IF(AND(ISNUMBER(Table1[[#This Row],[Max Chip Thermal Density (W/cm2)]]),Table1[[#This Row],[Frequency (GHz)]]&gt;=20,Table1[[#This Row],[Frequency (GHz)]]&lt;50),Table1[[#This Row],[Max Chip Thermal Density (W/cm2)]],#N/A)</f>
        <v>8.4</v>
      </c>
      <c r="AQ60" s="1" t="e">
        <f>IF(AND(ISNUMBER(Table1[[#This Row],[Max Chip Thermal Density (W/cm2)]]),Table1[[#This Row],[Frequency (GHz)]]&gt;=50,Table1[[#This Row],[Frequency (GHz)]]&lt;75),Table1[[#This Row],[Max Chip Thermal Density (W/cm2)]],#N/A)</f>
        <v>#N/A</v>
      </c>
      <c r="AR60" s="1" t="e">
        <f>IF(AND(ISNUMBER(Table1[[#This Row],[Max Chip Thermal Density (W/cm2)]]),Table1[[#This Row],[Frequency (GHz)]]&gt;=75,Table1[[#This Row],[Frequency (GHz)]]&lt;110),Table1[[#This Row],[Max Chip Thermal Density (W/cm2)]],#N/A)</f>
        <v>#N/A</v>
      </c>
      <c r="AS60" s="1" t="e">
        <f>IF(AND(ISNUMBER(Table1[[#This Row],[Max Chip Thermal Density (W/cm2)]]),Table1[[#This Row],[Frequency (GHz)]]&gt;=110,Table1[[#This Row],[Frequency (GHz)]]&lt;170),Table1[[#This Row],[Max Chip Thermal Density (W/cm2)]],#N/A)</f>
        <v>#N/A</v>
      </c>
      <c r="AT60" s="1" t="e">
        <f>IF(AND(ISNUMBER(Table1[[#This Row],[Max Chip Thermal Density (W/cm2)]]),Table1[[#This Row],[Frequency (GHz)]]&gt;=170,Table1[[#This Row],[Frequency (GHz)]]&lt;260),Table1[[#This Row],[Max Chip Thermal Density (W/cm2)]],#N/A)</f>
        <v>#N/A</v>
      </c>
      <c r="AU60" s="1" t="e">
        <f>IF(AND(ISNUMBER(Table1[[#This Row],[Max Chip Thermal Density (W/cm2)]]),Table1[[#This Row],[Frequency (GHz)]]&gt;=260),Table1[[#This Row],[Max Chip Thermal Density (W/cm2)]],#N/A)</f>
        <v>#N/A</v>
      </c>
    </row>
    <row r="61" spans="1:47" x14ac:dyDescent="0.2">
      <c r="A61" s="25">
        <f>IF(ISNUMBER(Table1[[#This Row],[Total Pout/Prad (dBm)]]),Table1[[#This Row],[Total Pout/Prad (dBm)]],#N/A)</f>
        <v>30.061799739838872</v>
      </c>
      <c r="B61" s="1">
        <f>IF(ISNUMBER(Table1[[#This Row],[Total Pout/Prad (dBm)]]),Table1[[#This Row],[Total '# of TX Elements]],#N/A)</f>
        <v>64</v>
      </c>
      <c r="C61" s="1">
        <f>IF(ISNUMBER(Table1[[#This Row],[TX EIRP (dBm)]]),Table1[[#This Row],[TX EIRP (dBm)]],#N/A)</f>
        <v>52</v>
      </c>
      <c r="D61" s="1" t="str">
        <f>Table1[[#This Row],[TX Pdc (W)]]</f>
        <v>N/A</v>
      </c>
      <c r="E61" s="1">
        <f>IF(ISNUMBER(Table1[[#This Row],[Array Aperture Size (cm2)]]),Table1[[#This Row],[Array Aperture Size (cm2)]],IF(Table1[[#This Row],[Antenna on (None, Chip, AiP, PCB)]]="Chip",Table1[[#This Row],[Chip Core Size - X (mm)]]*Table1[[#This Row],[Chip Core Size -Y (mm)]]/100*Table1[[#This Row],['# of IC per Tile]]*Table1[[#This Row],['# of Array Tile]],#N/A))</f>
        <v>16</v>
      </c>
      <c r="F61" s="1" t="e">
        <f t="shared" si="0"/>
        <v>#N/A</v>
      </c>
      <c r="G61" s="1" t="e">
        <f t="shared" si="1"/>
        <v>#N/A</v>
      </c>
      <c r="L61" s="1" t="e">
        <f>IF(Table1[[#This Row],[Frequency (GHz)]]&lt;20,Plot_Data_Power!F61,#N/A)</f>
        <v>#N/A</v>
      </c>
      <c r="M61" s="1" t="e">
        <f>IF(AND(Table1[[#This Row],[Frequency (GHz)]]&gt;=20,Table1[[#This Row],[Frequency (GHz)]]&lt;50),Plot_Data_Power!F61,#N/A)</f>
        <v>#N/A</v>
      </c>
      <c r="N61" s="1" t="e">
        <f>IF(AND(Table1[[#This Row],[Frequency (GHz)]]&gt;=50,Table1[[#This Row],[Frequency (GHz)]]&lt;75),Plot_Data_Power!F61,#N/A)</f>
        <v>#N/A</v>
      </c>
      <c r="O61" s="1" t="e">
        <f>IF(AND(Table1[[#This Row],[Frequency (GHz)]]&gt;=75,Table1[[#This Row],[Frequency (GHz)]]&lt;110),Plot_Data_Power!F61,#N/A)</f>
        <v>#N/A</v>
      </c>
      <c r="P61" s="1" t="e">
        <f>IF(AND(Table1[[#This Row],[Frequency (GHz)]]&gt;=110,Table1[[#This Row],[Frequency (GHz)]]&lt;170),Plot_Data_Power!F61,#N/A)</f>
        <v>#N/A</v>
      </c>
      <c r="Q61" s="1" t="e">
        <f>IF(AND(Table1[[#This Row],[Frequency (GHz)]]&gt;=170,Table1[[#This Row],[Frequency (GHz)]]&lt;260),Plot_Data_Power!F61,#N/A)</f>
        <v>#N/A</v>
      </c>
      <c r="R61" s="1" t="e">
        <f>IF(Table1[[#This Row],[Frequency (GHz)]]&gt;=260,Plot_Data_Power!F61,#N/A)</f>
        <v>#N/A</v>
      </c>
      <c r="U61" s="1" t="e">
        <f>IF(Table1[[#This Row],[Frequency (GHz)]]&lt;20,Plot_Data_Power!G61,#N/A)</f>
        <v>#N/A</v>
      </c>
      <c r="V61" s="1" t="e">
        <f>IF(AND(Table1[[#This Row],[Frequency (GHz)]]&gt;=20,Table1[[#This Row],[Frequency (GHz)]]&lt;50),Plot_Data_Power!G61,#N/A)</f>
        <v>#N/A</v>
      </c>
      <c r="W61" s="1" t="e">
        <f>IF(AND(Table1[[#This Row],[Frequency (GHz)]]&gt;=50,Table1[[#This Row],[Frequency (GHz)]]&lt;75),Plot_Data_Power!G61,#N/A)</f>
        <v>#N/A</v>
      </c>
      <c r="X61" s="1" t="e">
        <f>IF(AND(Table1[[#This Row],[Frequency (GHz)]]&gt;=75,Table1[[#This Row],[Frequency (GHz)]]&lt;110),Plot_Data_Power!G61,#N/A)</f>
        <v>#N/A</v>
      </c>
      <c r="Y61" s="1" t="e">
        <f>IF(AND(Table1[[#This Row],[Frequency (GHz)]]&gt;=110,Table1[[#This Row],[Frequency (GHz)]]&lt;170),Plot_Data_Power!G61,#N/A)</f>
        <v>#N/A</v>
      </c>
      <c r="Z61" s="1" t="e">
        <f>IF(AND(Table1[[#This Row],[Frequency (GHz)]]&gt;=170,Table1[[#This Row],[Frequency (GHz)]]&lt;260),Plot_Data_Power!G61,#N/A)</f>
        <v>#N/A</v>
      </c>
      <c r="AA61" s="1" t="e">
        <f>IF(Table1[[#This Row],[Frequency (GHz)]]&gt;=260,Plot_Data_Power!G61,#N/A)</f>
        <v>#N/A</v>
      </c>
      <c r="AD61" s="1" t="e">
        <f>IF(ISNUMBER(Table1[[#This Row],[Max Package Thermal Density (W/cm2)]]),Table1[[#This Row],[Max Package Thermal Density (W/cm2)]],#N/A)</f>
        <v>#N/A</v>
      </c>
      <c r="AE61" s="1" t="e">
        <f>IF(AND(ISNUMBER((Table1[[#This Row],[Max Package Thermal Density (W/cm2)]])),Table1[[#This Row],[Frequency (GHz)]]&lt;20),Table1[[#This Row],[Max Package Thermal Density (W/cm2)]],#N/A)</f>
        <v>#N/A</v>
      </c>
      <c r="AF61" s="1" t="e">
        <f>IF(AND(ISNUMBER(Table1[[#This Row],[Max Package Thermal Density (W/cm2)]]),Table1[[#This Row],[Frequency (GHz)]]&gt;=20,Table1[[#This Row],[Frequency (GHz)]]&lt;50),Table1[[#This Row],[Max Package Thermal Density (W/cm2)]],#N/A)</f>
        <v>#N/A</v>
      </c>
      <c r="AG61" s="1" t="e">
        <f>IF(AND(ISNUMBER(Table1[[#This Row],[Max Package Thermal Density (W/cm2)]]),Table1[[#This Row],[Frequency (GHz)]]&gt;=50,Table1[[#This Row],[Frequency (GHz)]]&lt;75),Table1[[#This Row],[Max Package Thermal Density (W/cm2)]],#N/A)</f>
        <v>#N/A</v>
      </c>
      <c r="AH61" s="1" t="e">
        <f>IF(AND(ISNUMBER(Table1[[#This Row],[Max Package Thermal Density (W/cm2)]]),Table1[[#This Row],[Frequency (GHz)]]&gt;=75,Table1[[#This Row],[Frequency (GHz)]]&lt;110),Table1[[#This Row],[Max Package Thermal Density (W/cm2)]],#N/A)</f>
        <v>#N/A</v>
      </c>
      <c r="AI61" s="1" t="e">
        <f>IF(AND(ISNUMBER(Table1[[#This Row],[Max Package Thermal Density (W/cm2)]]),Table1[[#This Row],[Frequency (GHz)]]&gt;=110,Table1[[#This Row],[Frequency (GHz)]]&lt;170),Table1[[#This Row],[Max Package Thermal Density (W/cm2)]],#N/A)</f>
        <v>#N/A</v>
      </c>
      <c r="AJ61" s="1" t="e">
        <f>IF(AND(ISNUMBER(Table1[[#This Row],[Max Package Thermal Density (W/cm2)]]),Table1[[#This Row],[Frequency (GHz)]]&gt;=170,Table1[[#This Row],[Frequency (GHz)]]&lt;260),Table1[[#This Row],[Max Package Thermal Density (W/cm2)]],#N/A)</f>
        <v>#N/A</v>
      </c>
      <c r="AK61" s="1" t="e">
        <f>IF(AND(ISNUMBER(Table1[[#This Row],[Max Package Thermal Density (W/cm2)]]),Table1[[#This Row],[Frequency (GHz)]]&gt;=260),Table1[[#This Row],[Max Package Thermal Density (W/cm2)]],#N/A)</f>
        <v>#N/A</v>
      </c>
      <c r="AN61" s="1" t="e">
        <f>IF(ISNUMBER(Table1[[#This Row],[Max Chip Thermal Density (W/cm2)]]),Table1[[#This Row],[Max Chip Thermal Density (W/cm2)]],#N/A)</f>
        <v>#N/A</v>
      </c>
      <c r="AO61" s="1" t="e">
        <f>IF(AND(ISNUMBER((Table1[[#This Row],[Max Chip Thermal Density (W/cm2)]])),Table1[[#This Row],[Frequency (GHz)]]&lt;20),Table1[[#This Row],[Max Chip Thermal Density (W/cm2)]],#N/A)</f>
        <v>#N/A</v>
      </c>
      <c r="AP61" s="1" t="e">
        <f>IF(AND(ISNUMBER(Table1[[#This Row],[Max Chip Thermal Density (W/cm2)]]),Table1[[#This Row],[Frequency (GHz)]]&gt;=20,Table1[[#This Row],[Frequency (GHz)]]&lt;50),Table1[[#This Row],[Max Chip Thermal Density (W/cm2)]],#N/A)</f>
        <v>#N/A</v>
      </c>
      <c r="AQ61" s="1" t="e">
        <f>IF(AND(ISNUMBER(Table1[[#This Row],[Max Chip Thermal Density (W/cm2)]]),Table1[[#This Row],[Frequency (GHz)]]&gt;=50,Table1[[#This Row],[Frequency (GHz)]]&lt;75),Table1[[#This Row],[Max Chip Thermal Density (W/cm2)]],#N/A)</f>
        <v>#N/A</v>
      </c>
      <c r="AR61" s="1" t="e">
        <f>IF(AND(ISNUMBER(Table1[[#This Row],[Max Chip Thermal Density (W/cm2)]]),Table1[[#This Row],[Frequency (GHz)]]&gt;=75,Table1[[#This Row],[Frequency (GHz)]]&lt;110),Table1[[#This Row],[Max Chip Thermal Density (W/cm2)]],#N/A)</f>
        <v>#N/A</v>
      </c>
      <c r="AS61" s="1" t="e">
        <f>IF(AND(ISNUMBER(Table1[[#This Row],[Max Chip Thermal Density (W/cm2)]]),Table1[[#This Row],[Frequency (GHz)]]&gt;=110,Table1[[#This Row],[Frequency (GHz)]]&lt;170),Table1[[#This Row],[Max Chip Thermal Density (W/cm2)]],#N/A)</f>
        <v>#N/A</v>
      </c>
      <c r="AT61" s="1" t="e">
        <f>IF(AND(ISNUMBER(Table1[[#This Row],[Max Chip Thermal Density (W/cm2)]]),Table1[[#This Row],[Frequency (GHz)]]&gt;=170,Table1[[#This Row],[Frequency (GHz)]]&lt;260),Table1[[#This Row],[Max Chip Thermal Density (W/cm2)]],#N/A)</f>
        <v>#N/A</v>
      </c>
      <c r="AU61" s="1" t="e">
        <f>IF(AND(ISNUMBER(Table1[[#This Row],[Max Chip Thermal Density (W/cm2)]]),Table1[[#This Row],[Frequency (GHz)]]&gt;=260),Table1[[#This Row],[Max Chip Thermal Density (W/cm2)]],#N/A)</f>
        <v>#N/A</v>
      </c>
    </row>
    <row r="62" spans="1:47" x14ac:dyDescent="0.2">
      <c r="A62" s="25">
        <f>IF(ISNUMBER(Table1[[#This Row],[Total Pout/Prad (dBm)]]),Table1[[#This Row],[Total Pout/Prad (dBm)]],#N/A)</f>
        <v>34.061799739838875</v>
      </c>
      <c r="B62" s="1">
        <f>IF(ISNUMBER(Table1[[#This Row],[Total Pout/Prad (dBm)]]),Table1[[#This Row],[Total '# of TX Elements]],#N/A)</f>
        <v>64</v>
      </c>
      <c r="C62" s="1">
        <f>IF(ISNUMBER(Table1[[#This Row],[TX EIRP (dBm)]]),Table1[[#This Row],[TX EIRP (dBm)]],#N/A)</f>
        <v>54.8</v>
      </c>
      <c r="D62" s="1">
        <f>Table1[[#This Row],[TX Pdc (W)]]</f>
        <v>21.76</v>
      </c>
      <c r="E62" s="1">
        <f>IF(ISNUMBER(Table1[[#This Row],[Array Aperture Size (cm2)]]),Table1[[#This Row],[Array Aperture Size (cm2)]],IF(Table1[[#This Row],[Antenna on (None, Chip, AiP, PCB)]]="Chip",Table1[[#This Row],[Chip Core Size - X (mm)]]*Table1[[#This Row],[Chip Core Size -Y (mm)]]/100*Table1[[#This Row],['# of IC per Tile]]*Table1[[#This Row],['# of Array Tile]],#N/A))</f>
        <v>19.779999999999998</v>
      </c>
      <c r="F62" s="1">
        <f t="shared" si="0"/>
        <v>11.709034428044061</v>
      </c>
      <c r="G62" s="1">
        <f t="shared" si="1"/>
        <v>1387.8454597435748</v>
      </c>
      <c r="L62" s="1" t="e">
        <f>IF(Table1[[#This Row],[Frequency (GHz)]]&lt;20,Plot_Data_Power!F62,#N/A)</f>
        <v>#N/A</v>
      </c>
      <c r="M62" s="1">
        <f>IF(AND(Table1[[#This Row],[Frequency (GHz)]]&gt;=20,Table1[[#This Row],[Frequency (GHz)]]&lt;50),Plot_Data_Power!F62,#N/A)</f>
        <v>11.709034428044061</v>
      </c>
      <c r="N62" s="1" t="e">
        <f>IF(AND(Table1[[#This Row],[Frequency (GHz)]]&gt;=50,Table1[[#This Row],[Frequency (GHz)]]&lt;75),Plot_Data_Power!F62,#N/A)</f>
        <v>#N/A</v>
      </c>
      <c r="O62" s="1" t="e">
        <f>IF(AND(Table1[[#This Row],[Frequency (GHz)]]&gt;=75,Table1[[#This Row],[Frequency (GHz)]]&lt;110),Plot_Data_Power!F62,#N/A)</f>
        <v>#N/A</v>
      </c>
      <c r="P62" s="1" t="e">
        <f>IF(AND(Table1[[#This Row],[Frequency (GHz)]]&gt;=110,Table1[[#This Row],[Frequency (GHz)]]&lt;170),Plot_Data_Power!F62,#N/A)</f>
        <v>#N/A</v>
      </c>
      <c r="Q62" s="1" t="e">
        <f>IF(AND(Table1[[#This Row],[Frequency (GHz)]]&gt;=170,Table1[[#This Row],[Frequency (GHz)]]&lt;260),Plot_Data_Power!F62,#N/A)</f>
        <v>#N/A</v>
      </c>
      <c r="R62" s="1" t="e">
        <f>IF(Table1[[#This Row],[Frequency (GHz)]]&gt;=260,Plot_Data_Power!F62,#N/A)</f>
        <v>#N/A</v>
      </c>
      <c r="U62" s="1" t="e">
        <f>IF(Table1[[#This Row],[Frequency (GHz)]]&lt;20,Plot_Data_Power!G62,#N/A)</f>
        <v>#N/A</v>
      </c>
      <c r="V62" s="1">
        <f>IF(AND(Table1[[#This Row],[Frequency (GHz)]]&gt;=20,Table1[[#This Row],[Frequency (GHz)]]&lt;50),Plot_Data_Power!G62,#N/A)</f>
        <v>1387.8454597435748</v>
      </c>
      <c r="W62" s="1" t="e">
        <f>IF(AND(Table1[[#This Row],[Frequency (GHz)]]&gt;=50,Table1[[#This Row],[Frequency (GHz)]]&lt;75),Plot_Data_Power!G62,#N/A)</f>
        <v>#N/A</v>
      </c>
      <c r="X62" s="1" t="e">
        <f>IF(AND(Table1[[#This Row],[Frequency (GHz)]]&gt;=75,Table1[[#This Row],[Frequency (GHz)]]&lt;110),Plot_Data_Power!G62,#N/A)</f>
        <v>#N/A</v>
      </c>
      <c r="Y62" s="1" t="e">
        <f>IF(AND(Table1[[#This Row],[Frequency (GHz)]]&gt;=110,Table1[[#This Row],[Frequency (GHz)]]&lt;170),Plot_Data_Power!G62,#N/A)</f>
        <v>#N/A</v>
      </c>
      <c r="Z62" s="1" t="e">
        <f>IF(AND(Table1[[#This Row],[Frequency (GHz)]]&gt;=170,Table1[[#This Row],[Frequency (GHz)]]&lt;260),Plot_Data_Power!G62,#N/A)</f>
        <v>#N/A</v>
      </c>
      <c r="AA62" s="1" t="e">
        <f>IF(Table1[[#This Row],[Frequency (GHz)]]&gt;=260,Plot_Data_Power!G62,#N/A)</f>
        <v>#N/A</v>
      </c>
      <c r="AD62" s="1">
        <f>IF(ISNUMBER(Table1[[#This Row],[Max Package Thermal Density (W/cm2)]]),Table1[[#This Row],[Max Package Thermal Density (W/cm2)]],#N/A)</f>
        <v>1.1001011122345805</v>
      </c>
      <c r="AE62" s="1" t="e">
        <f>IF(AND(ISNUMBER((Table1[[#This Row],[Max Package Thermal Density (W/cm2)]])),Table1[[#This Row],[Frequency (GHz)]]&lt;20),Table1[[#This Row],[Max Package Thermal Density (W/cm2)]],#N/A)</f>
        <v>#N/A</v>
      </c>
      <c r="AF62" s="1">
        <f>IF(AND(ISNUMBER(Table1[[#This Row],[Max Package Thermal Density (W/cm2)]]),Table1[[#This Row],[Frequency (GHz)]]&gt;=20,Table1[[#This Row],[Frequency (GHz)]]&lt;50),Table1[[#This Row],[Max Package Thermal Density (W/cm2)]],#N/A)</f>
        <v>1.1001011122345805</v>
      </c>
      <c r="AG62" s="1" t="e">
        <f>IF(AND(ISNUMBER(Table1[[#This Row],[Max Package Thermal Density (W/cm2)]]),Table1[[#This Row],[Frequency (GHz)]]&gt;=50,Table1[[#This Row],[Frequency (GHz)]]&lt;75),Table1[[#This Row],[Max Package Thermal Density (W/cm2)]],#N/A)</f>
        <v>#N/A</v>
      </c>
      <c r="AH62" s="1" t="e">
        <f>IF(AND(ISNUMBER(Table1[[#This Row],[Max Package Thermal Density (W/cm2)]]),Table1[[#This Row],[Frequency (GHz)]]&gt;=75,Table1[[#This Row],[Frequency (GHz)]]&lt;110),Table1[[#This Row],[Max Package Thermal Density (W/cm2)]],#N/A)</f>
        <v>#N/A</v>
      </c>
      <c r="AI62" s="1" t="e">
        <f>IF(AND(ISNUMBER(Table1[[#This Row],[Max Package Thermal Density (W/cm2)]]),Table1[[#This Row],[Frequency (GHz)]]&gt;=110,Table1[[#This Row],[Frequency (GHz)]]&lt;170),Table1[[#This Row],[Max Package Thermal Density (W/cm2)]],#N/A)</f>
        <v>#N/A</v>
      </c>
      <c r="AJ62" s="1" t="e">
        <f>IF(AND(ISNUMBER(Table1[[#This Row],[Max Package Thermal Density (W/cm2)]]),Table1[[#This Row],[Frequency (GHz)]]&gt;=170,Table1[[#This Row],[Frequency (GHz)]]&lt;260),Table1[[#This Row],[Max Package Thermal Density (W/cm2)]],#N/A)</f>
        <v>#N/A</v>
      </c>
      <c r="AK62" s="1" t="e">
        <f>IF(AND(ISNUMBER(Table1[[#This Row],[Max Package Thermal Density (W/cm2)]]),Table1[[#This Row],[Frequency (GHz)]]&gt;=260),Table1[[#This Row],[Max Package Thermal Density (W/cm2)]],#N/A)</f>
        <v>#N/A</v>
      </c>
      <c r="AN62" s="1" t="e">
        <f>IF(ISNUMBER(Table1[[#This Row],[Max Chip Thermal Density (W/cm2)]]),Table1[[#This Row],[Max Chip Thermal Density (W/cm2)]],#N/A)</f>
        <v>#N/A</v>
      </c>
      <c r="AO62" s="1" t="e">
        <f>IF(AND(ISNUMBER((Table1[[#This Row],[Max Chip Thermal Density (W/cm2)]])),Table1[[#This Row],[Frequency (GHz)]]&lt;20),Table1[[#This Row],[Max Chip Thermal Density (W/cm2)]],#N/A)</f>
        <v>#N/A</v>
      </c>
      <c r="AP62" s="1" t="e">
        <f>IF(AND(ISNUMBER(Table1[[#This Row],[Max Chip Thermal Density (W/cm2)]]),Table1[[#This Row],[Frequency (GHz)]]&gt;=20,Table1[[#This Row],[Frequency (GHz)]]&lt;50),Table1[[#This Row],[Max Chip Thermal Density (W/cm2)]],#N/A)</f>
        <v>#N/A</v>
      </c>
      <c r="AQ62" s="1" t="e">
        <f>IF(AND(ISNUMBER(Table1[[#This Row],[Max Chip Thermal Density (W/cm2)]]),Table1[[#This Row],[Frequency (GHz)]]&gt;=50,Table1[[#This Row],[Frequency (GHz)]]&lt;75),Table1[[#This Row],[Max Chip Thermal Density (W/cm2)]],#N/A)</f>
        <v>#N/A</v>
      </c>
      <c r="AR62" s="1" t="e">
        <f>IF(AND(ISNUMBER(Table1[[#This Row],[Max Chip Thermal Density (W/cm2)]]),Table1[[#This Row],[Frequency (GHz)]]&gt;=75,Table1[[#This Row],[Frequency (GHz)]]&lt;110),Table1[[#This Row],[Max Chip Thermal Density (W/cm2)]],#N/A)</f>
        <v>#N/A</v>
      </c>
      <c r="AS62" s="1" t="e">
        <f>IF(AND(ISNUMBER(Table1[[#This Row],[Max Chip Thermal Density (W/cm2)]]),Table1[[#This Row],[Frequency (GHz)]]&gt;=110,Table1[[#This Row],[Frequency (GHz)]]&lt;170),Table1[[#This Row],[Max Chip Thermal Density (W/cm2)]],#N/A)</f>
        <v>#N/A</v>
      </c>
      <c r="AT62" s="1" t="e">
        <f>IF(AND(ISNUMBER(Table1[[#This Row],[Max Chip Thermal Density (W/cm2)]]),Table1[[#This Row],[Frequency (GHz)]]&gt;=170,Table1[[#This Row],[Frequency (GHz)]]&lt;260),Table1[[#This Row],[Max Chip Thermal Density (W/cm2)]],#N/A)</f>
        <v>#N/A</v>
      </c>
      <c r="AU62" s="1" t="e">
        <f>IF(AND(ISNUMBER(Table1[[#This Row],[Max Chip Thermal Density (W/cm2)]]),Table1[[#This Row],[Frequency (GHz)]]&gt;=260),Table1[[#This Row],[Max Chip Thermal Density (W/cm2)]],#N/A)</f>
        <v>#N/A</v>
      </c>
    </row>
    <row r="63" spans="1:47" x14ac:dyDescent="0.2">
      <c r="A63" s="25">
        <f>IF(ISNUMBER(Table1[[#This Row],[Total Pout/Prad (dBm)]]),Table1[[#This Row],[Total Pout/Prad (dBm)]],#N/A)</f>
        <v>-9.0000000000000018</v>
      </c>
      <c r="B63" s="1">
        <f>IF(ISNUMBER(Table1[[#This Row],[Total Pout/Prad (dBm)]]),Table1[[#This Row],[Total '# of TX Elements]],#N/A)</f>
        <v>1</v>
      </c>
      <c r="C63" s="1">
        <f>IF(ISNUMBER(Table1[[#This Row],[TX EIRP (dBm)]]),Table1[[#This Row],[TX EIRP (dBm)]],#N/A)</f>
        <v>10</v>
      </c>
      <c r="D63" s="1">
        <f>Table1[[#This Row],[TX Pdc (W)]]</f>
        <v>0.30399999999999999</v>
      </c>
      <c r="E63" s="1">
        <f>IF(ISNUMBER(Table1[[#This Row],[Array Aperture Size (cm2)]]),Table1[[#This Row],[Array Aperture Size (cm2)]],IF(Table1[[#This Row],[Antenna on (None, Chip, AiP, PCB)]]="Chip",Table1[[#This Row],[Chip Core Size - X (mm)]]*Table1[[#This Row],[Chip Core Size -Y (mm)]]/100*Table1[[#This Row],['# of IC per Tile]]*Table1[[#This Row],['# of Array Tile]],#N/A))</f>
        <v>6.7320000000000001E-3</v>
      </c>
      <c r="F63" s="1">
        <f t="shared" si="0"/>
        <v>4.1412020124808116E-2</v>
      </c>
      <c r="G63" s="1">
        <f t="shared" si="1"/>
        <v>3.2894736842105261</v>
      </c>
      <c r="L63" s="1" t="e">
        <f>IF(Table1[[#This Row],[Frequency (GHz)]]&lt;20,Plot_Data_Power!F63,#N/A)</f>
        <v>#N/A</v>
      </c>
      <c r="M63" s="1" t="e">
        <f>IF(AND(Table1[[#This Row],[Frequency (GHz)]]&gt;=20,Table1[[#This Row],[Frequency (GHz)]]&lt;50),Plot_Data_Power!F63,#N/A)</f>
        <v>#N/A</v>
      </c>
      <c r="N63" s="1" t="e">
        <f>IF(AND(Table1[[#This Row],[Frequency (GHz)]]&gt;=50,Table1[[#This Row],[Frequency (GHz)]]&lt;75),Plot_Data_Power!F63,#N/A)</f>
        <v>#N/A</v>
      </c>
      <c r="O63" s="1" t="e">
        <f>IF(AND(Table1[[#This Row],[Frequency (GHz)]]&gt;=75,Table1[[#This Row],[Frequency (GHz)]]&lt;110),Plot_Data_Power!F63,#N/A)</f>
        <v>#N/A</v>
      </c>
      <c r="P63" s="1" t="e">
        <f>IF(AND(Table1[[#This Row],[Frequency (GHz)]]&gt;=110,Table1[[#This Row],[Frequency (GHz)]]&lt;170),Plot_Data_Power!F63,#N/A)</f>
        <v>#N/A</v>
      </c>
      <c r="Q63" s="1" t="e">
        <f>IF(AND(Table1[[#This Row],[Frequency (GHz)]]&gt;=170,Table1[[#This Row],[Frequency (GHz)]]&lt;260),Plot_Data_Power!F63,#N/A)</f>
        <v>#N/A</v>
      </c>
      <c r="R63" s="1">
        <f>IF(Table1[[#This Row],[Frequency (GHz)]]&gt;=260,Plot_Data_Power!F63,#N/A)</f>
        <v>4.1412020124808116E-2</v>
      </c>
      <c r="U63" s="1" t="e">
        <f>IF(Table1[[#This Row],[Frequency (GHz)]]&lt;20,Plot_Data_Power!G63,#N/A)</f>
        <v>#N/A</v>
      </c>
      <c r="V63" s="1" t="e">
        <f>IF(AND(Table1[[#This Row],[Frequency (GHz)]]&gt;=20,Table1[[#This Row],[Frequency (GHz)]]&lt;50),Plot_Data_Power!G63,#N/A)</f>
        <v>#N/A</v>
      </c>
      <c r="W63" s="1" t="e">
        <f>IF(AND(Table1[[#This Row],[Frequency (GHz)]]&gt;=50,Table1[[#This Row],[Frequency (GHz)]]&lt;75),Plot_Data_Power!G63,#N/A)</f>
        <v>#N/A</v>
      </c>
      <c r="X63" s="1" t="e">
        <f>IF(AND(Table1[[#This Row],[Frequency (GHz)]]&gt;=75,Table1[[#This Row],[Frequency (GHz)]]&lt;110),Plot_Data_Power!G63,#N/A)</f>
        <v>#N/A</v>
      </c>
      <c r="Y63" s="1" t="e">
        <f>IF(AND(Table1[[#This Row],[Frequency (GHz)]]&gt;=110,Table1[[#This Row],[Frequency (GHz)]]&lt;170),Plot_Data_Power!G63,#N/A)</f>
        <v>#N/A</v>
      </c>
      <c r="Z63" s="1" t="e">
        <f>IF(AND(Table1[[#This Row],[Frequency (GHz)]]&gt;=170,Table1[[#This Row],[Frequency (GHz)]]&lt;260),Plot_Data_Power!G63,#N/A)</f>
        <v>#N/A</v>
      </c>
      <c r="AA63" s="1">
        <f>IF(Table1[[#This Row],[Frequency (GHz)]]&gt;=260,Plot_Data_Power!G63,#N/A)</f>
        <v>3.2894736842105261</v>
      </c>
      <c r="AD63" s="1" t="e">
        <f>IF(ISNUMBER(Table1[[#This Row],[Max Package Thermal Density (W/cm2)]]),Table1[[#This Row],[Max Package Thermal Density (W/cm2)]],#N/A)</f>
        <v>#N/A</v>
      </c>
      <c r="AE63" s="1" t="e">
        <f>IF(AND(ISNUMBER((Table1[[#This Row],[Max Package Thermal Density (W/cm2)]])),Table1[[#This Row],[Frequency (GHz)]]&lt;20),Table1[[#This Row],[Max Package Thermal Density (W/cm2)]],#N/A)</f>
        <v>#N/A</v>
      </c>
      <c r="AF63" s="1" t="e">
        <f>IF(AND(ISNUMBER(Table1[[#This Row],[Max Package Thermal Density (W/cm2)]]),Table1[[#This Row],[Frequency (GHz)]]&gt;=20,Table1[[#This Row],[Frequency (GHz)]]&lt;50),Table1[[#This Row],[Max Package Thermal Density (W/cm2)]],#N/A)</f>
        <v>#N/A</v>
      </c>
      <c r="AG63" s="1" t="e">
        <f>IF(AND(ISNUMBER(Table1[[#This Row],[Max Package Thermal Density (W/cm2)]]),Table1[[#This Row],[Frequency (GHz)]]&gt;=50,Table1[[#This Row],[Frequency (GHz)]]&lt;75),Table1[[#This Row],[Max Package Thermal Density (W/cm2)]],#N/A)</f>
        <v>#N/A</v>
      </c>
      <c r="AH63" s="1" t="e">
        <f>IF(AND(ISNUMBER(Table1[[#This Row],[Max Package Thermal Density (W/cm2)]]),Table1[[#This Row],[Frequency (GHz)]]&gt;=75,Table1[[#This Row],[Frequency (GHz)]]&lt;110),Table1[[#This Row],[Max Package Thermal Density (W/cm2)]],#N/A)</f>
        <v>#N/A</v>
      </c>
      <c r="AI63" s="1" t="e">
        <f>IF(AND(ISNUMBER(Table1[[#This Row],[Max Package Thermal Density (W/cm2)]]),Table1[[#This Row],[Frequency (GHz)]]&gt;=110,Table1[[#This Row],[Frequency (GHz)]]&lt;170),Table1[[#This Row],[Max Package Thermal Density (W/cm2)]],#N/A)</f>
        <v>#N/A</v>
      </c>
      <c r="AJ63" s="1" t="e">
        <f>IF(AND(ISNUMBER(Table1[[#This Row],[Max Package Thermal Density (W/cm2)]]),Table1[[#This Row],[Frequency (GHz)]]&gt;=170,Table1[[#This Row],[Frequency (GHz)]]&lt;260),Table1[[#This Row],[Max Package Thermal Density (W/cm2)]],#N/A)</f>
        <v>#N/A</v>
      </c>
      <c r="AK63" s="1" t="e">
        <f>IF(AND(ISNUMBER(Table1[[#This Row],[Max Package Thermal Density (W/cm2)]]),Table1[[#This Row],[Frequency (GHz)]]&gt;=260),Table1[[#This Row],[Max Package Thermal Density (W/cm2)]],#N/A)</f>
        <v>#N/A</v>
      </c>
      <c r="AN63" s="1">
        <f>IF(ISNUMBER(Table1[[#This Row],[Max Chip Thermal Density (W/cm2)]]),Table1[[#This Row],[Max Chip Thermal Density (W/cm2)]],#N/A)</f>
        <v>15.194681861348529</v>
      </c>
      <c r="AO63" s="1" t="e">
        <f>IF(AND(ISNUMBER((Table1[[#This Row],[Max Chip Thermal Density (W/cm2)]])),Table1[[#This Row],[Frequency (GHz)]]&lt;20),Table1[[#This Row],[Max Chip Thermal Density (W/cm2)]],#N/A)</f>
        <v>#N/A</v>
      </c>
      <c r="AP63" s="1" t="e">
        <f>IF(AND(ISNUMBER(Table1[[#This Row],[Max Chip Thermal Density (W/cm2)]]),Table1[[#This Row],[Frequency (GHz)]]&gt;=20,Table1[[#This Row],[Frequency (GHz)]]&lt;50),Table1[[#This Row],[Max Chip Thermal Density (W/cm2)]],#N/A)</f>
        <v>#N/A</v>
      </c>
      <c r="AQ63" s="1" t="e">
        <f>IF(AND(ISNUMBER(Table1[[#This Row],[Max Chip Thermal Density (W/cm2)]]),Table1[[#This Row],[Frequency (GHz)]]&gt;=50,Table1[[#This Row],[Frequency (GHz)]]&lt;75),Table1[[#This Row],[Max Chip Thermal Density (W/cm2)]],#N/A)</f>
        <v>#N/A</v>
      </c>
      <c r="AR63" s="1" t="e">
        <f>IF(AND(ISNUMBER(Table1[[#This Row],[Max Chip Thermal Density (W/cm2)]]),Table1[[#This Row],[Frequency (GHz)]]&gt;=75,Table1[[#This Row],[Frequency (GHz)]]&lt;110),Table1[[#This Row],[Max Chip Thermal Density (W/cm2)]],#N/A)</f>
        <v>#N/A</v>
      </c>
      <c r="AS63" s="1" t="e">
        <f>IF(AND(ISNUMBER(Table1[[#This Row],[Max Chip Thermal Density (W/cm2)]]),Table1[[#This Row],[Frequency (GHz)]]&gt;=110,Table1[[#This Row],[Frequency (GHz)]]&lt;170),Table1[[#This Row],[Max Chip Thermal Density (W/cm2)]],#N/A)</f>
        <v>#N/A</v>
      </c>
      <c r="AT63" s="1" t="e">
        <f>IF(AND(ISNUMBER(Table1[[#This Row],[Max Chip Thermal Density (W/cm2)]]),Table1[[#This Row],[Frequency (GHz)]]&gt;=170,Table1[[#This Row],[Frequency (GHz)]]&lt;260),Table1[[#This Row],[Max Chip Thermal Density (W/cm2)]],#N/A)</f>
        <v>#N/A</v>
      </c>
      <c r="AU63" s="1">
        <f>IF(AND(ISNUMBER(Table1[[#This Row],[Max Chip Thermal Density (W/cm2)]]),Table1[[#This Row],[Frequency (GHz)]]&gt;=260),Table1[[#This Row],[Max Chip Thermal Density (W/cm2)]],#N/A)</f>
        <v>15.194681861348529</v>
      </c>
    </row>
    <row r="64" spans="1:47" x14ac:dyDescent="0.2">
      <c r="A64" s="25" t="e">
        <f>IF(ISNUMBER(Table1[[#This Row],[Total Pout/Prad (dBm)]]),Table1[[#This Row],[Total Pout/Prad (dBm)]],#N/A)</f>
        <v>#N/A</v>
      </c>
      <c r="B64" s="1" t="e">
        <f>IF(ISNUMBER(Table1[[#This Row],[Total Pout/Prad (dBm)]]),Table1[[#This Row],[Total '# of TX Elements]],#N/A)</f>
        <v>#N/A</v>
      </c>
      <c r="C64" s="1" t="e">
        <f>IF(ISNUMBER(Table1[[#This Row],[TX EIRP (dBm)]]),Table1[[#This Row],[TX EIRP (dBm)]],#N/A)</f>
        <v>#N/A</v>
      </c>
      <c r="D64" s="1" t="str">
        <f>Table1[[#This Row],[TX Pdc (W)]]</f>
        <v>N/A</v>
      </c>
      <c r="E64" s="1">
        <f>IF(ISNUMBER(Table1[[#This Row],[Array Aperture Size (cm2)]]),Table1[[#This Row],[Array Aperture Size (cm2)]],IF(Table1[[#This Row],[Antenna on (None, Chip, AiP, PCB)]]="Chip",Table1[[#This Row],[Chip Core Size - X (mm)]]*Table1[[#This Row],[Chip Core Size -Y (mm)]]/100*Table1[[#This Row],['# of IC per Tile]]*Table1[[#This Row],['# of Array Tile]],#N/A))</f>
        <v>1.8919999999999999E-2</v>
      </c>
      <c r="F64" s="1" t="e">
        <f t="shared" si="0"/>
        <v>#N/A</v>
      </c>
      <c r="G64" s="1" t="e">
        <f t="shared" si="1"/>
        <v>#N/A</v>
      </c>
      <c r="L64" s="1" t="e">
        <f>IF(Table1[[#This Row],[Frequency (GHz)]]&lt;20,Plot_Data_Power!F64,#N/A)</f>
        <v>#N/A</v>
      </c>
      <c r="M64" s="1" t="e">
        <f>IF(AND(Table1[[#This Row],[Frequency (GHz)]]&gt;=20,Table1[[#This Row],[Frequency (GHz)]]&lt;50),Plot_Data_Power!F64,#N/A)</f>
        <v>#N/A</v>
      </c>
      <c r="N64" s="1" t="e">
        <f>IF(AND(Table1[[#This Row],[Frequency (GHz)]]&gt;=50,Table1[[#This Row],[Frequency (GHz)]]&lt;75),Plot_Data_Power!F64,#N/A)</f>
        <v>#N/A</v>
      </c>
      <c r="O64" s="1" t="e">
        <f>IF(AND(Table1[[#This Row],[Frequency (GHz)]]&gt;=75,Table1[[#This Row],[Frequency (GHz)]]&lt;110),Plot_Data_Power!F64,#N/A)</f>
        <v>#N/A</v>
      </c>
      <c r="P64" s="1" t="e">
        <f>IF(AND(Table1[[#This Row],[Frequency (GHz)]]&gt;=110,Table1[[#This Row],[Frequency (GHz)]]&lt;170),Plot_Data_Power!F64,#N/A)</f>
        <v>#N/A</v>
      </c>
      <c r="Q64" s="1" t="e">
        <f>IF(AND(Table1[[#This Row],[Frequency (GHz)]]&gt;=170,Table1[[#This Row],[Frequency (GHz)]]&lt;260),Plot_Data_Power!F64,#N/A)</f>
        <v>#N/A</v>
      </c>
      <c r="R64" s="1" t="e">
        <f>IF(Table1[[#This Row],[Frequency (GHz)]]&gt;=260,Plot_Data_Power!F64,#N/A)</f>
        <v>#N/A</v>
      </c>
      <c r="U64" s="1" t="e">
        <f>IF(Table1[[#This Row],[Frequency (GHz)]]&lt;20,Plot_Data_Power!G64,#N/A)</f>
        <v>#N/A</v>
      </c>
      <c r="V64" s="1" t="e">
        <f>IF(AND(Table1[[#This Row],[Frequency (GHz)]]&gt;=20,Table1[[#This Row],[Frequency (GHz)]]&lt;50),Plot_Data_Power!G64,#N/A)</f>
        <v>#N/A</v>
      </c>
      <c r="W64" s="1" t="e">
        <f>IF(AND(Table1[[#This Row],[Frequency (GHz)]]&gt;=50,Table1[[#This Row],[Frequency (GHz)]]&lt;75),Plot_Data_Power!G64,#N/A)</f>
        <v>#N/A</v>
      </c>
      <c r="X64" s="1" t="e">
        <f>IF(AND(Table1[[#This Row],[Frequency (GHz)]]&gt;=75,Table1[[#This Row],[Frequency (GHz)]]&lt;110),Plot_Data_Power!G64,#N/A)</f>
        <v>#N/A</v>
      </c>
      <c r="Y64" s="1" t="e">
        <f>IF(AND(Table1[[#This Row],[Frequency (GHz)]]&gt;=110,Table1[[#This Row],[Frequency (GHz)]]&lt;170),Plot_Data_Power!G64,#N/A)</f>
        <v>#N/A</v>
      </c>
      <c r="Z64" s="1" t="e">
        <f>IF(AND(Table1[[#This Row],[Frequency (GHz)]]&gt;=170,Table1[[#This Row],[Frequency (GHz)]]&lt;260),Plot_Data_Power!G64,#N/A)</f>
        <v>#N/A</v>
      </c>
      <c r="AA64" s="1" t="e">
        <f>IF(Table1[[#This Row],[Frequency (GHz)]]&gt;=260,Plot_Data_Power!G64,#N/A)</f>
        <v>#N/A</v>
      </c>
      <c r="AD64" s="1" t="e">
        <f>IF(ISNUMBER(Table1[[#This Row],[Max Package Thermal Density (W/cm2)]]),Table1[[#This Row],[Max Package Thermal Density (W/cm2)]],#N/A)</f>
        <v>#N/A</v>
      </c>
      <c r="AE64" s="1" t="e">
        <f>IF(AND(ISNUMBER((Table1[[#This Row],[Max Package Thermal Density (W/cm2)]])),Table1[[#This Row],[Frequency (GHz)]]&lt;20),Table1[[#This Row],[Max Package Thermal Density (W/cm2)]],#N/A)</f>
        <v>#N/A</v>
      </c>
      <c r="AF64" s="1" t="e">
        <f>IF(AND(ISNUMBER(Table1[[#This Row],[Max Package Thermal Density (W/cm2)]]),Table1[[#This Row],[Frequency (GHz)]]&gt;=20,Table1[[#This Row],[Frequency (GHz)]]&lt;50),Table1[[#This Row],[Max Package Thermal Density (W/cm2)]],#N/A)</f>
        <v>#N/A</v>
      </c>
      <c r="AG64" s="1" t="e">
        <f>IF(AND(ISNUMBER(Table1[[#This Row],[Max Package Thermal Density (W/cm2)]]),Table1[[#This Row],[Frequency (GHz)]]&gt;=50,Table1[[#This Row],[Frequency (GHz)]]&lt;75),Table1[[#This Row],[Max Package Thermal Density (W/cm2)]],#N/A)</f>
        <v>#N/A</v>
      </c>
      <c r="AH64" s="1" t="e">
        <f>IF(AND(ISNUMBER(Table1[[#This Row],[Max Package Thermal Density (W/cm2)]]),Table1[[#This Row],[Frequency (GHz)]]&gt;=75,Table1[[#This Row],[Frequency (GHz)]]&lt;110),Table1[[#This Row],[Max Package Thermal Density (W/cm2)]],#N/A)</f>
        <v>#N/A</v>
      </c>
      <c r="AI64" s="1" t="e">
        <f>IF(AND(ISNUMBER(Table1[[#This Row],[Max Package Thermal Density (W/cm2)]]),Table1[[#This Row],[Frequency (GHz)]]&gt;=110,Table1[[#This Row],[Frequency (GHz)]]&lt;170),Table1[[#This Row],[Max Package Thermal Density (W/cm2)]],#N/A)</f>
        <v>#N/A</v>
      </c>
      <c r="AJ64" s="1" t="e">
        <f>IF(AND(ISNUMBER(Table1[[#This Row],[Max Package Thermal Density (W/cm2)]]),Table1[[#This Row],[Frequency (GHz)]]&gt;=170,Table1[[#This Row],[Frequency (GHz)]]&lt;260),Table1[[#This Row],[Max Package Thermal Density (W/cm2)]],#N/A)</f>
        <v>#N/A</v>
      </c>
      <c r="AK64" s="1" t="e">
        <f>IF(AND(ISNUMBER(Table1[[#This Row],[Max Package Thermal Density (W/cm2)]]),Table1[[#This Row],[Frequency (GHz)]]&gt;=260),Table1[[#This Row],[Max Package Thermal Density (W/cm2)]],#N/A)</f>
        <v>#N/A</v>
      </c>
      <c r="AN64" s="1">
        <f>IF(ISNUMBER(Table1[[#This Row],[Max Chip Thermal Density (W/cm2)]]),Table1[[#This Row],[Max Chip Thermal Density (W/cm2)]],#N/A)</f>
        <v>20.869504826724079</v>
      </c>
      <c r="AO64" s="1" t="e">
        <f>IF(AND(ISNUMBER((Table1[[#This Row],[Max Chip Thermal Density (W/cm2)]])),Table1[[#This Row],[Frequency (GHz)]]&lt;20),Table1[[#This Row],[Max Chip Thermal Density (W/cm2)]],#N/A)</f>
        <v>#N/A</v>
      </c>
      <c r="AP64" s="1" t="e">
        <f>IF(AND(ISNUMBER(Table1[[#This Row],[Max Chip Thermal Density (W/cm2)]]),Table1[[#This Row],[Frequency (GHz)]]&gt;=20,Table1[[#This Row],[Frequency (GHz)]]&lt;50),Table1[[#This Row],[Max Chip Thermal Density (W/cm2)]],#N/A)</f>
        <v>#N/A</v>
      </c>
      <c r="AQ64" s="1" t="e">
        <f>IF(AND(ISNUMBER(Table1[[#This Row],[Max Chip Thermal Density (W/cm2)]]),Table1[[#This Row],[Frequency (GHz)]]&gt;=50,Table1[[#This Row],[Frequency (GHz)]]&lt;75),Table1[[#This Row],[Max Chip Thermal Density (W/cm2)]],#N/A)</f>
        <v>#N/A</v>
      </c>
      <c r="AR64" s="1" t="e">
        <f>IF(AND(ISNUMBER(Table1[[#This Row],[Max Chip Thermal Density (W/cm2)]]),Table1[[#This Row],[Frequency (GHz)]]&gt;=75,Table1[[#This Row],[Frequency (GHz)]]&lt;110),Table1[[#This Row],[Max Chip Thermal Density (W/cm2)]],#N/A)</f>
        <v>#N/A</v>
      </c>
      <c r="AS64" s="1" t="e">
        <f>IF(AND(ISNUMBER(Table1[[#This Row],[Max Chip Thermal Density (W/cm2)]]),Table1[[#This Row],[Frequency (GHz)]]&gt;=110,Table1[[#This Row],[Frequency (GHz)]]&lt;170),Table1[[#This Row],[Max Chip Thermal Density (W/cm2)]],#N/A)</f>
        <v>#N/A</v>
      </c>
      <c r="AT64" s="1" t="e">
        <f>IF(AND(ISNUMBER(Table1[[#This Row],[Max Chip Thermal Density (W/cm2)]]),Table1[[#This Row],[Frequency (GHz)]]&gt;=170,Table1[[#This Row],[Frequency (GHz)]]&lt;260),Table1[[#This Row],[Max Chip Thermal Density (W/cm2)]],#N/A)</f>
        <v>#N/A</v>
      </c>
      <c r="AU64" s="1">
        <f>IF(AND(ISNUMBER(Table1[[#This Row],[Max Chip Thermal Density (W/cm2)]]),Table1[[#This Row],[Frequency (GHz)]]&gt;=260),Table1[[#This Row],[Max Chip Thermal Density (W/cm2)]],#N/A)</f>
        <v>20.869504826724079</v>
      </c>
    </row>
    <row r="65" spans="1:47" x14ac:dyDescent="0.2">
      <c r="A65" s="25" t="e">
        <f>IF(ISNUMBER(Table1[[#This Row],[Total Pout/Prad (dBm)]]),Table1[[#This Row],[Total Pout/Prad (dBm)]],#N/A)</f>
        <v>#N/A</v>
      </c>
      <c r="B65" s="1" t="e">
        <f>IF(ISNUMBER(Table1[[#This Row],[Total Pout/Prad (dBm)]]),Table1[[#This Row],[Total '# of TX Elements]],#N/A)</f>
        <v>#N/A</v>
      </c>
      <c r="C65" s="1">
        <f>IF(ISNUMBER(Table1[[#This Row],[TX EIRP (dBm)]]),Table1[[#This Row],[TX EIRP (dBm)]],#N/A)</f>
        <v>17</v>
      </c>
      <c r="D65" s="1">
        <f>Table1[[#This Row],[TX Pdc (W)]]</f>
        <v>6.8000000000000005E-2</v>
      </c>
      <c r="E65" s="1">
        <f>IF(ISNUMBER(Table1[[#This Row],[Array Aperture Size (cm2)]]),Table1[[#This Row],[Array Aperture Size (cm2)]],IF(Table1[[#This Row],[Antenna on (None, Chip, AiP, PCB)]]="Chip",Table1[[#This Row],[Chip Core Size - X (mm)]]*Table1[[#This Row],[Chip Core Size -Y (mm)]]/100*Table1[[#This Row],['# of IC per Tile]]*Table1[[#This Row],['# of Array Tile]],#N/A))</f>
        <v>1.3260000000000001E-3</v>
      </c>
      <c r="F65" s="1" t="e">
        <f t="shared" si="0"/>
        <v>#N/A</v>
      </c>
      <c r="G65" s="1">
        <f t="shared" si="1"/>
        <v>73.704004945187123</v>
      </c>
      <c r="L65" s="1" t="e">
        <f>IF(Table1[[#This Row],[Frequency (GHz)]]&lt;20,Plot_Data_Power!F65,#N/A)</f>
        <v>#N/A</v>
      </c>
      <c r="M65" s="1" t="e">
        <f>IF(AND(Table1[[#This Row],[Frequency (GHz)]]&gt;=20,Table1[[#This Row],[Frequency (GHz)]]&lt;50),Plot_Data_Power!F65,#N/A)</f>
        <v>#N/A</v>
      </c>
      <c r="N65" s="1" t="e">
        <f>IF(AND(Table1[[#This Row],[Frequency (GHz)]]&gt;=50,Table1[[#This Row],[Frequency (GHz)]]&lt;75),Plot_Data_Power!F65,#N/A)</f>
        <v>#N/A</v>
      </c>
      <c r="O65" s="1" t="e">
        <f>IF(AND(Table1[[#This Row],[Frequency (GHz)]]&gt;=75,Table1[[#This Row],[Frequency (GHz)]]&lt;110),Plot_Data_Power!F65,#N/A)</f>
        <v>#N/A</v>
      </c>
      <c r="P65" s="1" t="e">
        <f>IF(AND(Table1[[#This Row],[Frequency (GHz)]]&gt;=110,Table1[[#This Row],[Frequency (GHz)]]&lt;170),Plot_Data_Power!F65,#N/A)</f>
        <v>#N/A</v>
      </c>
      <c r="Q65" s="1" t="e">
        <f>IF(AND(Table1[[#This Row],[Frequency (GHz)]]&gt;=170,Table1[[#This Row],[Frequency (GHz)]]&lt;260),Plot_Data_Power!F65,#N/A)</f>
        <v>#N/A</v>
      </c>
      <c r="R65" s="1" t="e">
        <f>IF(Table1[[#This Row],[Frequency (GHz)]]&gt;=260,Plot_Data_Power!F65,#N/A)</f>
        <v>#N/A</v>
      </c>
      <c r="U65" s="1" t="e">
        <f>IF(Table1[[#This Row],[Frequency (GHz)]]&lt;20,Plot_Data_Power!G65,#N/A)</f>
        <v>#N/A</v>
      </c>
      <c r="V65" s="1" t="e">
        <f>IF(AND(Table1[[#This Row],[Frequency (GHz)]]&gt;=20,Table1[[#This Row],[Frequency (GHz)]]&lt;50),Plot_Data_Power!G65,#N/A)</f>
        <v>#N/A</v>
      </c>
      <c r="W65" s="1" t="e">
        <f>IF(AND(Table1[[#This Row],[Frequency (GHz)]]&gt;=50,Table1[[#This Row],[Frequency (GHz)]]&lt;75),Plot_Data_Power!G65,#N/A)</f>
        <v>#N/A</v>
      </c>
      <c r="X65" s="1" t="e">
        <f>IF(AND(Table1[[#This Row],[Frequency (GHz)]]&gt;=75,Table1[[#This Row],[Frequency (GHz)]]&lt;110),Plot_Data_Power!G65,#N/A)</f>
        <v>#N/A</v>
      </c>
      <c r="Y65" s="1" t="e">
        <f>IF(AND(Table1[[#This Row],[Frequency (GHz)]]&gt;=110,Table1[[#This Row],[Frequency (GHz)]]&lt;170),Plot_Data_Power!G65,#N/A)</f>
        <v>#N/A</v>
      </c>
      <c r="Z65" s="1">
        <f>IF(AND(Table1[[#This Row],[Frequency (GHz)]]&gt;=170,Table1[[#This Row],[Frequency (GHz)]]&lt;260),Plot_Data_Power!G65,#N/A)</f>
        <v>73.704004945187123</v>
      </c>
      <c r="AA65" s="1" t="e">
        <f>IF(Table1[[#This Row],[Frequency (GHz)]]&gt;=260,Plot_Data_Power!G65,#N/A)</f>
        <v>#N/A</v>
      </c>
      <c r="AD65" s="1" t="e">
        <f>IF(ISNUMBER(Table1[[#This Row],[Max Package Thermal Density (W/cm2)]]),Table1[[#This Row],[Max Package Thermal Density (W/cm2)]],#N/A)</f>
        <v>#N/A</v>
      </c>
      <c r="AE65" s="1" t="e">
        <f>IF(AND(ISNUMBER((Table1[[#This Row],[Max Package Thermal Density (W/cm2)]])),Table1[[#This Row],[Frequency (GHz)]]&lt;20),Table1[[#This Row],[Max Package Thermal Density (W/cm2)]],#N/A)</f>
        <v>#N/A</v>
      </c>
      <c r="AF65" s="1" t="e">
        <f>IF(AND(ISNUMBER(Table1[[#This Row],[Max Package Thermal Density (W/cm2)]]),Table1[[#This Row],[Frequency (GHz)]]&gt;=20,Table1[[#This Row],[Frequency (GHz)]]&lt;50),Table1[[#This Row],[Max Package Thermal Density (W/cm2)]],#N/A)</f>
        <v>#N/A</v>
      </c>
      <c r="AG65" s="1" t="e">
        <f>IF(AND(ISNUMBER(Table1[[#This Row],[Max Package Thermal Density (W/cm2)]]),Table1[[#This Row],[Frequency (GHz)]]&gt;=50,Table1[[#This Row],[Frequency (GHz)]]&lt;75),Table1[[#This Row],[Max Package Thermal Density (W/cm2)]],#N/A)</f>
        <v>#N/A</v>
      </c>
      <c r="AH65" s="1" t="e">
        <f>IF(AND(ISNUMBER(Table1[[#This Row],[Max Package Thermal Density (W/cm2)]]),Table1[[#This Row],[Frequency (GHz)]]&gt;=75,Table1[[#This Row],[Frequency (GHz)]]&lt;110),Table1[[#This Row],[Max Package Thermal Density (W/cm2)]],#N/A)</f>
        <v>#N/A</v>
      </c>
      <c r="AI65" s="1" t="e">
        <f>IF(AND(ISNUMBER(Table1[[#This Row],[Max Package Thermal Density (W/cm2)]]),Table1[[#This Row],[Frequency (GHz)]]&gt;=110,Table1[[#This Row],[Frequency (GHz)]]&lt;170),Table1[[#This Row],[Max Package Thermal Density (W/cm2)]],#N/A)</f>
        <v>#N/A</v>
      </c>
      <c r="AJ65" s="1" t="e">
        <f>IF(AND(ISNUMBER(Table1[[#This Row],[Max Package Thermal Density (W/cm2)]]),Table1[[#This Row],[Frequency (GHz)]]&gt;=170,Table1[[#This Row],[Frequency (GHz)]]&lt;260),Table1[[#This Row],[Max Package Thermal Density (W/cm2)]],#N/A)</f>
        <v>#N/A</v>
      </c>
      <c r="AK65" s="1" t="e">
        <f>IF(AND(ISNUMBER(Table1[[#This Row],[Max Package Thermal Density (W/cm2)]]),Table1[[#This Row],[Frequency (GHz)]]&gt;=260),Table1[[#This Row],[Max Package Thermal Density (W/cm2)]],#N/A)</f>
        <v>#N/A</v>
      </c>
      <c r="AN65" s="1">
        <f>IF(ISNUMBER(Table1[[#This Row],[Max Chip Thermal Density (W/cm2)]]),Table1[[#This Row],[Max Chip Thermal Density (W/cm2)]],#N/A)</f>
        <v>30.548068283917342</v>
      </c>
      <c r="AO65" s="1" t="e">
        <f>IF(AND(ISNUMBER((Table1[[#This Row],[Max Chip Thermal Density (W/cm2)]])),Table1[[#This Row],[Frequency (GHz)]]&lt;20),Table1[[#This Row],[Max Chip Thermal Density (W/cm2)]],#N/A)</f>
        <v>#N/A</v>
      </c>
      <c r="AP65" s="1" t="e">
        <f>IF(AND(ISNUMBER(Table1[[#This Row],[Max Chip Thermal Density (W/cm2)]]),Table1[[#This Row],[Frequency (GHz)]]&gt;=20,Table1[[#This Row],[Frequency (GHz)]]&lt;50),Table1[[#This Row],[Max Chip Thermal Density (W/cm2)]],#N/A)</f>
        <v>#N/A</v>
      </c>
      <c r="AQ65" s="1" t="e">
        <f>IF(AND(ISNUMBER(Table1[[#This Row],[Max Chip Thermal Density (W/cm2)]]),Table1[[#This Row],[Frequency (GHz)]]&gt;=50,Table1[[#This Row],[Frequency (GHz)]]&lt;75),Table1[[#This Row],[Max Chip Thermal Density (W/cm2)]],#N/A)</f>
        <v>#N/A</v>
      </c>
      <c r="AR65" s="1" t="e">
        <f>IF(AND(ISNUMBER(Table1[[#This Row],[Max Chip Thermal Density (W/cm2)]]),Table1[[#This Row],[Frequency (GHz)]]&gt;=75,Table1[[#This Row],[Frequency (GHz)]]&lt;110),Table1[[#This Row],[Max Chip Thermal Density (W/cm2)]],#N/A)</f>
        <v>#N/A</v>
      </c>
      <c r="AS65" s="1" t="e">
        <f>IF(AND(ISNUMBER(Table1[[#This Row],[Max Chip Thermal Density (W/cm2)]]),Table1[[#This Row],[Frequency (GHz)]]&gt;=110,Table1[[#This Row],[Frequency (GHz)]]&lt;170),Table1[[#This Row],[Max Chip Thermal Density (W/cm2)]],#N/A)</f>
        <v>#N/A</v>
      </c>
      <c r="AT65" s="1">
        <f>IF(AND(ISNUMBER(Table1[[#This Row],[Max Chip Thermal Density (W/cm2)]]),Table1[[#This Row],[Frequency (GHz)]]&gt;=170,Table1[[#This Row],[Frequency (GHz)]]&lt;260),Table1[[#This Row],[Max Chip Thermal Density (W/cm2)]],#N/A)</f>
        <v>30.548068283917342</v>
      </c>
      <c r="AU65" s="1" t="e">
        <f>IF(AND(ISNUMBER(Table1[[#This Row],[Max Chip Thermal Density (W/cm2)]]),Table1[[#This Row],[Frequency (GHz)]]&gt;=260),Table1[[#This Row],[Max Chip Thermal Density (W/cm2)]],#N/A)</f>
        <v>#N/A</v>
      </c>
    </row>
    <row r="66" spans="1:47" x14ac:dyDescent="0.2">
      <c r="A66" s="25" t="e">
        <f>IF(ISNUMBER(Table1[[#This Row],[Total Pout/Prad (dBm)]]),Table1[[#This Row],[Total Pout/Prad (dBm)]],#N/A)</f>
        <v>#N/A</v>
      </c>
      <c r="B66" s="1" t="e">
        <f>IF(ISNUMBER(Table1[[#This Row],[Total Pout/Prad (dBm)]]),Table1[[#This Row],[Total '# of TX Elements]],#N/A)</f>
        <v>#N/A</v>
      </c>
      <c r="C66" s="1" t="e">
        <f>IF(ISNUMBER(Table1[[#This Row],[TX EIRP (dBm)]]),Table1[[#This Row],[TX EIRP (dBm)]],#N/A)</f>
        <v>#N/A</v>
      </c>
      <c r="D66" s="1">
        <f>Table1[[#This Row],[TX Pdc (W)]]</f>
        <v>3</v>
      </c>
      <c r="E66"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66" s="1" t="e">
        <f t="shared" si="0"/>
        <v>#N/A</v>
      </c>
      <c r="G66" s="1" t="e">
        <f t="shared" si="1"/>
        <v>#N/A</v>
      </c>
      <c r="L66" s="1" t="e">
        <f>IF(Table1[[#This Row],[Frequency (GHz)]]&lt;20,Plot_Data_Power!F66,#N/A)</f>
        <v>#N/A</v>
      </c>
      <c r="M66" s="1" t="e">
        <f>IF(AND(Table1[[#This Row],[Frequency (GHz)]]&gt;=20,Table1[[#This Row],[Frequency (GHz)]]&lt;50),Plot_Data_Power!F66,#N/A)</f>
        <v>#N/A</v>
      </c>
      <c r="N66" s="1" t="e">
        <f>IF(AND(Table1[[#This Row],[Frequency (GHz)]]&gt;=50,Table1[[#This Row],[Frequency (GHz)]]&lt;75),Plot_Data_Power!F66,#N/A)</f>
        <v>#N/A</v>
      </c>
      <c r="O66" s="1" t="e">
        <f>IF(AND(Table1[[#This Row],[Frequency (GHz)]]&gt;=75,Table1[[#This Row],[Frequency (GHz)]]&lt;110),Plot_Data_Power!F66,#N/A)</f>
        <v>#N/A</v>
      </c>
      <c r="P66" s="1" t="e">
        <f>IF(AND(Table1[[#This Row],[Frequency (GHz)]]&gt;=110,Table1[[#This Row],[Frequency (GHz)]]&lt;170),Plot_Data_Power!F66,#N/A)</f>
        <v>#N/A</v>
      </c>
      <c r="Q66" s="1" t="e">
        <f>IF(AND(Table1[[#This Row],[Frequency (GHz)]]&gt;=170,Table1[[#This Row],[Frequency (GHz)]]&lt;260),Plot_Data_Power!F66,#N/A)</f>
        <v>#N/A</v>
      </c>
      <c r="R66" s="1" t="e">
        <f>IF(Table1[[#This Row],[Frequency (GHz)]]&gt;=260,Plot_Data_Power!F66,#N/A)</f>
        <v>#N/A</v>
      </c>
      <c r="U66" s="1" t="e">
        <f>IF(Table1[[#This Row],[Frequency (GHz)]]&lt;20,Plot_Data_Power!G66,#N/A)</f>
        <v>#N/A</v>
      </c>
      <c r="V66" s="1" t="e">
        <f>IF(AND(Table1[[#This Row],[Frequency (GHz)]]&gt;=20,Table1[[#This Row],[Frequency (GHz)]]&lt;50),Plot_Data_Power!G66,#N/A)</f>
        <v>#N/A</v>
      </c>
      <c r="W66" s="1" t="e">
        <f>IF(AND(Table1[[#This Row],[Frequency (GHz)]]&gt;=50,Table1[[#This Row],[Frequency (GHz)]]&lt;75),Plot_Data_Power!G66,#N/A)</f>
        <v>#N/A</v>
      </c>
      <c r="X66" s="1" t="e">
        <f>IF(AND(Table1[[#This Row],[Frequency (GHz)]]&gt;=75,Table1[[#This Row],[Frequency (GHz)]]&lt;110),Plot_Data_Power!G66,#N/A)</f>
        <v>#N/A</v>
      </c>
      <c r="Y66" s="1" t="e">
        <f>IF(AND(Table1[[#This Row],[Frequency (GHz)]]&gt;=110,Table1[[#This Row],[Frequency (GHz)]]&lt;170),Plot_Data_Power!G66,#N/A)</f>
        <v>#N/A</v>
      </c>
      <c r="Z66" s="1" t="e">
        <f>IF(AND(Table1[[#This Row],[Frequency (GHz)]]&gt;=170,Table1[[#This Row],[Frequency (GHz)]]&lt;260),Plot_Data_Power!G66,#N/A)</f>
        <v>#N/A</v>
      </c>
      <c r="AA66" s="1" t="e">
        <f>IF(Table1[[#This Row],[Frequency (GHz)]]&gt;=260,Plot_Data_Power!G66,#N/A)</f>
        <v>#N/A</v>
      </c>
      <c r="AD66" s="1" t="e">
        <f>IF(ISNUMBER(Table1[[#This Row],[Max Package Thermal Density (W/cm2)]]),Table1[[#This Row],[Max Package Thermal Density (W/cm2)]],#N/A)</f>
        <v>#N/A</v>
      </c>
      <c r="AE66" s="1" t="e">
        <f>IF(AND(ISNUMBER((Table1[[#This Row],[Max Package Thermal Density (W/cm2)]])),Table1[[#This Row],[Frequency (GHz)]]&lt;20),Table1[[#This Row],[Max Package Thermal Density (W/cm2)]],#N/A)</f>
        <v>#N/A</v>
      </c>
      <c r="AF66" s="1" t="e">
        <f>IF(AND(ISNUMBER(Table1[[#This Row],[Max Package Thermal Density (W/cm2)]]),Table1[[#This Row],[Frequency (GHz)]]&gt;=20,Table1[[#This Row],[Frequency (GHz)]]&lt;50),Table1[[#This Row],[Max Package Thermal Density (W/cm2)]],#N/A)</f>
        <v>#N/A</v>
      </c>
      <c r="AG66" s="1" t="e">
        <f>IF(AND(ISNUMBER(Table1[[#This Row],[Max Package Thermal Density (W/cm2)]]),Table1[[#This Row],[Frequency (GHz)]]&gt;=50,Table1[[#This Row],[Frequency (GHz)]]&lt;75),Table1[[#This Row],[Max Package Thermal Density (W/cm2)]],#N/A)</f>
        <v>#N/A</v>
      </c>
      <c r="AH66" s="1" t="e">
        <f>IF(AND(ISNUMBER(Table1[[#This Row],[Max Package Thermal Density (W/cm2)]]),Table1[[#This Row],[Frequency (GHz)]]&gt;=75,Table1[[#This Row],[Frequency (GHz)]]&lt;110),Table1[[#This Row],[Max Package Thermal Density (W/cm2)]],#N/A)</f>
        <v>#N/A</v>
      </c>
      <c r="AI66" s="1" t="e">
        <f>IF(AND(ISNUMBER(Table1[[#This Row],[Max Package Thermal Density (W/cm2)]]),Table1[[#This Row],[Frequency (GHz)]]&gt;=110,Table1[[#This Row],[Frequency (GHz)]]&lt;170),Table1[[#This Row],[Max Package Thermal Density (W/cm2)]],#N/A)</f>
        <v>#N/A</v>
      </c>
      <c r="AJ66" s="1" t="e">
        <f>IF(AND(ISNUMBER(Table1[[#This Row],[Max Package Thermal Density (W/cm2)]]),Table1[[#This Row],[Frequency (GHz)]]&gt;=170,Table1[[#This Row],[Frequency (GHz)]]&lt;260),Table1[[#This Row],[Max Package Thermal Density (W/cm2)]],#N/A)</f>
        <v>#N/A</v>
      </c>
      <c r="AK66" s="1" t="e">
        <f>IF(AND(ISNUMBER(Table1[[#This Row],[Max Package Thermal Density (W/cm2)]]),Table1[[#This Row],[Frequency (GHz)]]&gt;=260),Table1[[#This Row],[Max Package Thermal Density (W/cm2)]],#N/A)</f>
        <v>#N/A</v>
      </c>
      <c r="AN66" s="1">
        <f>IF(ISNUMBER(Table1[[#This Row],[Max Chip Thermal Density (W/cm2)]]),Table1[[#This Row],[Max Chip Thermal Density (W/cm2)]],#N/A)</f>
        <v>18.007202881152462</v>
      </c>
      <c r="AO66" s="1" t="e">
        <f>IF(AND(ISNUMBER((Table1[[#This Row],[Max Chip Thermal Density (W/cm2)]])),Table1[[#This Row],[Frequency (GHz)]]&lt;20),Table1[[#This Row],[Max Chip Thermal Density (W/cm2)]],#N/A)</f>
        <v>#N/A</v>
      </c>
      <c r="AP66" s="1" t="e">
        <f>IF(AND(ISNUMBER(Table1[[#This Row],[Max Chip Thermal Density (W/cm2)]]),Table1[[#This Row],[Frequency (GHz)]]&gt;=20,Table1[[#This Row],[Frequency (GHz)]]&lt;50),Table1[[#This Row],[Max Chip Thermal Density (W/cm2)]],#N/A)</f>
        <v>#N/A</v>
      </c>
      <c r="AQ66" s="1" t="e">
        <f>IF(AND(ISNUMBER(Table1[[#This Row],[Max Chip Thermal Density (W/cm2)]]),Table1[[#This Row],[Frequency (GHz)]]&gt;=50,Table1[[#This Row],[Frequency (GHz)]]&lt;75),Table1[[#This Row],[Max Chip Thermal Density (W/cm2)]],#N/A)</f>
        <v>#N/A</v>
      </c>
      <c r="AR66" s="1" t="e">
        <f>IF(AND(ISNUMBER(Table1[[#This Row],[Max Chip Thermal Density (W/cm2)]]),Table1[[#This Row],[Frequency (GHz)]]&gt;=75,Table1[[#This Row],[Frequency (GHz)]]&lt;110),Table1[[#This Row],[Max Chip Thermal Density (W/cm2)]],#N/A)</f>
        <v>#N/A</v>
      </c>
      <c r="AS66" s="1" t="e">
        <f>IF(AND(ISNUMBER(Table1[[#This Row],[Max Chip Thermal Density (W/cm2)]]),Table1[[#This Row],[Frequency (GHz)]]&gt;=110,Table1[[#This Row],[Frequency (GHz)]]&lt;170),Table1[[#This Row],[Max Chip Thermal Density (W/cm2)]],#N/A)</f>
        <v>#N/A</v>
      </c>
      <c r="AT66" s="1">
        <f>IF(AND(ISNUMBER(Table1[[#This Row],[Max Chip Thermal Density (W/cm2)]]),Table1[[#This Row],[Frequency (GHz)]]&gt;=170,Table1[[#This Row],[Frequency (GHz)]]&lt;260),Table1[[#This Row],[Max Chip Thermal Density (W/cm2)]],#N/A)</f>
        <v>18.007202881152462</v>
      </c>
      <c r="AU66" s="1" t="e">
        <f>IF(AND(ISNUMBER(Table1[[#This Row],[Max Chip Thermal Density (W/cm2)]]),Table1[[#This Row],[Frequency (GHz)]]&gt;=260),Table1[[#This Row],[Max Chip Thermal Density (W/cm2)]],#N/A)</f>
        <v>#N/A</v>
      </c>
    </row>
    <row r="67" spans="1:47" x14ac:dyDescent="0.2">
      <c r="A67" s="25" t="e">
        <f>IF(ISNUMBER(Table1[[#This Row],[Total Pout/Prad (dBm)]]),Table1[[#This Row],[Total Pout/Prad (dBm)]],#N/A)</f>
        <v>#N/A</v>
      </c>
      <c r="B67" s="1" t="e">
        <f>IF(ISNUMBER(Table1[[#This Row],[Total Pout/Prad (dBm)]]),Table1[[#This Row],[Total '# of TX Elements]],#N/A)</f>
        <v>#N/A</v>
      </c>
      <c r="C67" s="1">
        <f>IF(ISNUMBER(Table1[[#This Row],[TX EIRP (dBm)]]),Table1[[#This Row],[TX EIRP (dBm)]],#N/A)</f>
        <v>3.6</v>
      </c>
      <c r="D67" s="1">
        <f>Table1[[#This Row],[TX Pdc (W)]]</f>
        <v>1.071</v>
      </c>
      <c r="E67" s="1">
        <f>IF(ISNUMBER(Table1[[#This Row],[Array Aperture Size (cm2)]]),Table1[[#This Row],[Array Aperture Size (cm2)]],IF(Table1[[#This Row],[Antenna on (None, Chip, AiP, PCB)]]="Chip",Table1[[#This Row],[Chip Core Size - X (mm)]]*Table1[[#This Row],[Chip Core Size -Y (mm)]]/100*Table1[[#This Row],['# of IC per Tile]]*Table1[[#This Row],['# of Array Tile]],#N/A))</f>
        <v>2.9970000000000004E-2</v>
      </c>
      <c r="F67" s="1" t="e">
        <f t="shared" ref="F67:F130" si="2">IF(AND(ISNUMBER(A67),ISNUMBER(D67)),(10^(A67/10)/1000)/D67*100,#N/A)</f>
        <v>#N/A</v>
      </c>
      <c r="G67" s="1">
        <f t="shared" ref="G67:G130" si="3">IF(AND(ISNUMBER(C67),ISNUMBER(D67)),(10^(C67/10)/1000)/D67*100,#N/A)</f>
        <v>0.21389987420800871</v>
      </c>
      <c r="L67" s="1" t="e">
        <f>IF(Table1[[#This Row],[Frequency (GHz)]]&lt;20,Plot_Data_Power!F67,#N/A)</f>
        <v>#N/A</v>
      </c>
      <c r="M67" s="1" t="e">
        <f>IF(AND(Table1[[#This Row],[Frequency (GHz)]]&gt;=20,Table1[[#This Row],[Frequency (GHz)]]&lt;50),Plot_Data_Power!F67,#N/A)</f>
        <v>#N/A</v>
      </c>
      <c r="N67" s="1" t="e">
        <f>IF(AND(Table1[[#This Row],[Frequency (GHz)]]&gt;=50,Table1[[#This Row],[Frequency (GHz)]]&lt;75),Plot_Data_Power!F67,#N/A)</f>
        <v>#N/A</v>
      </c>
      <c r="O67" s="1" t="e">
        <f>IF(AND(Table1[[#This Row],[Frequency (GHz)]]&gt;=75,Table1[[#This Row],[Frequency (GHz)]]&lt;110),Plot_Data_Power!F67,#N/A)</f>
        <v>#N/A</v>
      </c>
      <c r="P67" s="1" t="e">
        <f>IF(AND(Table1[[#This Row],[Frequency (GHz)]]&gt;=110,Table1[[#This Row],[Frequency (GHz)]]&lt;170),Plot_Data_Power!F67,#N/A)</f>
        <v>#N/A</v>
      </c>
      <c r="Q67" s="1" t="e">
        <f>IF(AND(Table1[[#This Row],[Frequency (GHz)]]&gt;=170,Table1[[#This Row],[Frequency (GHz)]]&lt;260),Plot_Data_Power!F67,#N/A)</f>
        <v>#N/A</v>
      </c>
      <c r="R67" s="1" t="e">
        <f>IF(Table1[[#This Row],[Frequency (GHz)]]&gt;=260,Plot_Data_Power!F67,#N/A)</f>
        <v>#N/A</v>
      </c>
      <c r="U67" s="1" t="e">
        <f>IF(Table1[[#This Row],[Frequency (GHz)]]&lt;20,Plot_Data_Power!G67,#N/A)</f>
        <v>#N/A</v>
      </c>
      <c r="V67" s="1" t="e">
        <f>IF(AND(Table1[[#This Row],[Frequency (GHz)]]&gt;=20,Table1[[#This Row],[Frequency (GHz)]]&lt;50),Plot_Data_Power!G67,#N/A)</f>
        <v>#N/A</v>
      </c>
      <c r="W67" s="1" t="e">
        <f>IF(AND(Table1[[#This Row],[Frequency (GHz)]]&gt;=50,Table1[[#This Row],[Frequency (GHz)]]&lt;75),Plot_Data_Power!G67,#N/A)</f>
        <v>#N/A</v>
      </c>
      <c r="X67" s="1" t="e">
        <f>IF(AND(Table1[[#This Row],[Frequency (GHz)]]&gt;=75,Table1[[#This Row],[Frequency (GHz)]]&lt;110),Plot_Data_Power!G67,#N/A)</f>
        <v>#N/A</v>
      </c>
      <c r="Y67" s="1" t="e">
        <f>IF(AND(Table1[[#This Row],[Frequency (GHz)]]&gt;=110,Table1[[#This Row],[Frequency (GHz)]]&lt;170),Plot_Data_Power!G67,#N/A)</f>
        <v>#N/A</v>
      </c>
      <c r="Z67" s="1" t="e">
        <f>IF(AND(Table1[[#This Row],[Frequency (GHz)]]&gt;=170,Table1[[#This Row],[Frequency (GHz)]]&lt;260),Plot_Data_Power!G67,#N/A)</f>
        <v>#N/A</v>
      </c>
      <c r="AA67" s="1">
        <f>IF(Table1[[#This Row],[Frequency (GHz)]]&gt;=260,Plot_Data_Power!G67,#N/A)</f>
        <v>0.21389987420800871</v>
      </c>
      <c r="AD67" s="1" t="e">
        <f>IF(ISNUMBER(Table1[[#This Row],[Max Package Thermal Density (W/cm2)]]),Table1[[#This Row],[Max Package Thermal Density (W/cm2)]],#N/A)</f>
        <v>#N/A</v>
      </c>
      <c r="AE67" s="1" t="e">
        <f>IF(AND(ISNUMBER((Table1[[#This Row],[Max Package Thermal Density (W/cm2)]])),Table1[[#This Row],[Frequency (GHz)]]&lt;20),Table1[[#This Row],[Max Package Thermal Density (W/cm2)]],#N/A)</f>
        <v>#N/A</v>
      </c>
      <c r="AF67" s="1" t="e">
        <f>IF(AND(ISNUMBER(Table1[[#This Row],[Max Package Thermal Density (W/cm2)]]),Table1[[#This Row],[Frequency (GHz)]]&gt;=20,Table1[[#This Row],[Frequency (GHz)]]&lt;50),Table1[[#This Row],[Max Package Thermal Density (W/cm2)]],#N/A)</f>
        <v>#N/A</v>
      </c>
      <c r="AG67" s="1" t="e">
        <f>IF(AND(ISNUMBER(Table1[[#This Row],[Max Package Thermal Density (W/cm2)]]),Table1[[#This Row],[Frequency (GHz)]]&gt;=50,Table1[[#This Row],[Frequency (GHz)]]&lt;75),Table1[[#This Row],[Max Package Thermal Density (W/cm2)]],#N/A)</f>
        <v>#N/A</v>
      </c>
      <c r="AH67" s="1" t="e">
        <f>IF(AND(ISNUMBER(Table1[[#This Row],[Max Package Thermal Density (W/cm2)]]),Table1[[#This Row],[Frequency (GHz)]]&gt;=75,Table1[[#This Row],[Frequency (GHz)]]&lt;110),Table1[[#This Row],[Max Package Thermal Density (W/cm2)]],#N/A)</f>
        <v>#N/A</v>
      </c>
      <c r="AI67" s="1" t="e">
        <f>IF(AND(ISNUMBER(Table1[[#This Row],[Max Package Thermal Density (W/cm2)]]),Table1[[#This Row],[Frequency (GHz)]]&gt;=110,Table1[[#This Row],[Frequency (GHz)]]&lt;170),Table1[[#This Row],[Max Package Thermal Density (W/cm2)]],#N/A)</f>
        <v>#N/A</v>
      </c>
      <c r="AJ67" s="1" t="e">
        <f>IF(AND(ISNUMBER(Table1[[#This Row],[Max Package Thermal Density (W/cm2)]]),Table1[[#This Row],[Frequency (GHz)]]&gt;=170,Table1[[#This Row],[Frequency (GHz)]]&lt;260),Table1[[#This Row],[Max Package Thermal Density (W/cm2)]],#N/A)</f>
        <v>#N/A</v>
      </c>
      <c r="AK67" s="1" t="e">
        <f>IF(AND(ISNUMBER(Table1[[#This Row],[Max Package Thermal Density (W/cm2)]]),Table1[[#This Row],[Frequency (GHz)]]&gt;=260),Table1[[#This Row],[Max Package Thermal Density (W/cm2)]],#N/A)</f>
        <v>#N/A</v>
      </c>
      <c r="AN67" s="1">
        <f>IF(ISNUMBER(Table1[[#This Row],[Max Chip Thermal Density (W/cm2)]]),Table1[[#This Row],[Max Chip Thermal Density (W/cm2)]],#N/A)</f>
        <v>26.870389884088514</v>
      </c>
      <c r="AO67" s="1" t="e">
        <f>IF(AND(ISNUMBER((Table1[[#This Row],[Max Chip Thermal Density (W/cm2)]])),Table1[[#This Row],[Frequency (GHz)]]&lt;20),Table1[[#This Row],[Max Chip Thermal Density (W/cm2)]],#N/A)</f>
        <v>#N/A</v>
      </c>
      <c r="AP67" s="1" t="e">
        <f>IF(AND(ISNUMBER(Table1[[#This Row],[Max Chip Thermal Density (W/cm2)]]),Table1[[#This Row],[Frequency (GHz)]]&gt;=20,Table1[[#This Row],[Frequency (GHz)]]&lt;50),Table1[[#This Row],[Max Chip Thermal Density (W/cm2)]],#N/A)</f>
        <v>#N/A</v>
      </c>
      <c r="AQ67" s="1" t="e">
        <f>IF(AND(ISNUMBER(Table1[[#This Row],[Max Chip Thermal Density (W/cm2)]]),Table1[[#This Row],[Frequency (GHz)]]&gt;=50,Table1[[#This Row],[Frequency (GHz)]]&lt;75),Table1[[#This Row],[Max Chip Thermal Density (W/cm2)]],#N/A)</f>
        <v>#N/A</v>
      </c>
      <c r="AR67" s="1" t="e">
        <f>IF(AND(ISNUMBER(Table1[[#This Row],[Max Chip Thermal Density (W/cm2)]]),Table1[[#This Row],[Frequency (GHz)]]&gt;=75,Table1[[#This Row],[Frequency (GHz)]]&lt;110),Table1[[#This Row],[Max Chip Thermal Density (W/cm2)]],#N/A)</f>
        <v>#N/A</v>
      </c>
      <c r="AS67" s="1" t="e">
        <f>IF(AND(ISNUMBER(Table1[[#This Row],[Max Chip Thermal Density (W/cm2)]]),Table1[[#This Row],[Frequency (GHz)]]&gt;=110,Table1[[#This Row],[Frequency (GHz)]]&lt;170),Table1[[#This Row],[Max Chip Thermal Density (W/cm2)]],#N/A)</f>
        <v>#N/A</v>
      </c>
      <c r="AT67" s="1" t="e">
        <f>IF(AND(ISNUMBER(Table1[[#This Row],[Max Chip Thermal Density (W/cm2)]]),Table1[[#This Row],[Frequency (GHz)]]&gt;=170,Table1[[#This Row],[Frequency (GHz)]]&lt;260),Table1[[#This Row],[Max Chip Thermal Density (W/cm2)]],#N/A)</f>
        <v>#N/A</v>
      </c>
      <c r="AU67" s="1">
        <f>IF(AND(ISNUMBER(Table1[[#This Row],[Max Chip Thermal Density (W/cm2)]]),Table1[[#This Row],[Frequency (GHz)]]&gt;=260),Table1[[#This Row],[Max Chip Thermal Density (W/cm2)]],#N/A)</f>
        <v>26.870389884088514</v>
      </c>
    </row>
    <row r="68" spans="1:47" x14ac:dyDescent="0.2">
      <c r="A68" s="25" t="e">
        <f>IF(ISNUMBER(Table1[[#This Row],[Total Pout/Prad (dBm)]]),Table1[[#This Row],[Total Pout/Prad (dBm)]],#N/A)</f>
        <v>#N/A</v>
      </c>
      <c r="B68" s="1" t="e">
        <f>IF(ISNUMBER(Table1[[#This Row],[Total Pout/Prad (dBm)]]),Table1[[#This Row],[Total '# of TX Elements]],#N/A)</f>
        <v>#N/A</v>
      </c>
      <c r="C68" s="1" t="e">
        <f>IF(ISNUMBER(Table1[[#This Row],[TX EIRP (dBm)]]),Table1[[#This Row],[TX EIRP (dBm)]],#N/A)</f>
        <v>#N/A</v>
      </c>
      <c r="D68" s="1" t="str">
        <f>Table1[[#This Row],[TX Pdc (W)]]</f>
        <v>N/A</v>
      </c>
      <c r="E68" s="1">
        <f>IF(ISNUMBER(Table1[[#This Row],[Array Aperture Size (cm2)]]),Table1[[#This Row],[Array Aperture Size (cm2)]],IF(Table1[[#This Row],[Antenna on (None, Chip, AiP, PCB)]]="Chip",Table1[[#This Row],[Chip Core Size - X (mm)]]*Table1[[#This Row],[Chip Core Size -Y (mm)]]/100*Table1[[#This Row],['# of IC per Tile]]*Table1[[#This Row],['# of Array Tile]],#N/A))</f>
        <v>6.7650000000000005E-5</v>
      </c>
      <c r="F68" s="1" t="e">
        <f t="shared" si="2"/>
        <v>#N/A</v>
      </c>
      <c r="G68" s="1" t="e">
        <f t="shared" si="3"/>
        <v>#N/A</v>
      </c>
      <c r="L68" s="1" t="e">
        <f>IF(Table1[[#This Row],[Frequency (GHz)]]&lt;20,Plot_Data_Power!F68,#N/A)</f>
        <v>#N/A</v>
      </c>
      <c r="M68" s="1" t="e">
        <f>IF(AND(Table1[[#This Row],[Frequency (GHz)]]&gt;=20,Table1[[#This Row],[Frequency (GHz)]]&lt;50),Plot_Data_Power!F68,#N/A)</f>
        <v>#N/A</v>
      </c>
      <c r="N68" s="1" t="e">
        <f>IF(AND(Table1[[#This Row],[Frequency (GHz)]]&gt;=50,Table1[[#This Row],[Frequency (GHz)]]&lt;75),Plot_Data_Power!F68,#N/A)</f>
        <v>#N/A</v>
      </c>
      <c r="O68" s="1" t="e">
        <f>IF(AND(Table1[[#This Row],[Frequency (GHz)]]&gt;=75,Table1[[#This Row],[Frequency (GHz)]]&lt;110),Plot_Data_Power!F68,#N/A)</f>
        <v>#N/A</v>
      </c>
      <c r="P68" s="1" t="e">
        <f>IF(AND(Table1[[#This Row],[Frequency (GHz)]]&gt;=110,Table1[[#This Row],[Frequency (GHz)]]&lt;170),Plot_Data_Power!F68,#N/A)</f>
        <v>#N/A</v>
      </c>
      <c r="Q68" s="1" t="e">
        <f>IF(AND(Table1[[#This Row],[Frequency (GHz)]]&gt;=170,Table1[[#This Row],[Frequency (GHz)]]&lt;260),Plot_Data_Power!F68,#N/A)</f>
        <v>#N/A</v>
      </c>
      <c r="R68" s="1" t="e">
        <f>IF(Table1[[#This Row],[Frequency (GHz)]]&gt;=260,Plot_Data_Power!F68,#N/A)</f>
        <v>#N/A</v>
      </c>
      <c r="U68" s="1" t="e">
        <f>IF(Table1[[#This Row],[Frequency (GHz)]]&lt;20,Plot_Data_Power!G68,#N/A)</f>
        <v>#N/A</v>
      </c>
      <c r="V68" s="1" t="e">
        <f>IF(AND(Table1[[#This Row],[Frequency (GHz)]]&gt;=20,Table1[[#This Row],[Frequency (GHz)]]&lt;50),Plot_Data_Power!G68,#N/A)</f>
        <v>#N/A</v>
      </c>
      <c r="W68" s="1" t="e">
        <f>IF(AND(Table1[[#This Row],[Frequency (GHz)]]&gt;=50,Table1[[#This Row],[Frequency (GHz)]]&lt;75),Plot_Data_Power!G68,#N/A)</f>
        <v>#N/A</v>
      </c>
      <c r="X68" s="1" t="e">
        <f>IF(AND(Table1[[#This Row],[Frequency (GHz)]]&gt;=75,Table1[[#This Row],[Frequency (GHz)]]&lt;110),Plot_Data_Power!G68,#N/A)</f>
        <v>#N/A</v>
      </c>
      <c r="Y68" s="1" t="e">
        <f>IF(AND(Table1[[#This Row],[Frequency (GHz)]]&gt;=110,Table1[[#This Row],[Frequency (GHz)]]&lt;170),Plot_Data_Power!G68,#N/A)</f>
        <v>#N/A</v>
      </c>
      <c r="Z68" s="1" t="e">
        <f>IF(AND(Table1[[#This Row],[Frequency (GHz)]]&gt;=170,Table1[[#This Row],[Frequency (GHz)]]&lt;260),Plot_Data_Power!G68,#N/A)</f>
        <v>#N/A</v>
      </c>
      <c r="AA68" s="1" t="e">
        <f>IF(Table1[[#This Row],[Frequency (GHz)]]&gt;=260,Plot_Data_Power!G68,#N/A)</f>
        <v>#N/A</v>
      </c>
      <c r="AD68" s="1" t="e">
        <f>IF(ISNUMBER(Table1[[#This Row],[Max Package Thermal Density (W/cm2)]]),Table1[[#This Row],[Max Package Thermal Density (W/cm2)]],#N/A)</f>
        <v>#N/A</v>
      </c>
      <c r="AE68" s="1" t="e">
        <f>IF(AND(ISNUMBER((Table1[[#This Row],[Max Package Thermal Density (W/cm2)]])),Table1[[#This Row],[Frequency (GHz)]]&lt;20),Table1[[#This Row],[Max Package Thermal Density (W/cm2)]],#N/A)</f>
        <v>#N/A</v>
      </c>
      <c r="AF68" s="1" t="e">
        <f>IF(AND(ISNUMBER(Table1[[#This Row],[Max Package Thermal Density (W/cm2)]]),Table1[[#This Row],[Frequency (GHz)]]&gt;=20,Table1[[#This Row],[Frequency (GHz)]]&lt;50),Table1[[#This Row],[Max Package Thermal Density (W/cm2)]],#N/A)</f>
        <v>#N/A</v>
      </c>
      <c r="AG68" s="1" t="e">
        <f>IF(AND(ISNUMBER(Table1[[#This Row],[Max Package Thermal Density (W/cm2)]]),Table1[[#This Row],[Frequency (GHz)]]&gt;=50,Table1[[#This Row],[Frequency (GHz)]]&lt;75),Table1[[#This Row],[Max Package Thermal Density (W/cm2)]],#N/A)</f>
        <v>#N/A</v>
      </c>
      <c r="AH68" s="1" t="e">
        <f>IF(AND(ISNUMBER(Table1[[#This Row],[Max Package Thermal Density (W/cm2)]]),Table1[[#This Row],[Frequency (GHz)]]&gt;=75,Table1[[#This Row],[Frequency (GHz)]]&lt;110),Table1[[#This Row],[Max Package Thermal Density (W/cm2)]],#N/A)</f>
        <v>#N/A</v>
      </c>
      <c r="AI68" s="1" t="e">
        <f>IF(AND(ISNUMBER(Table1[[#This Row],[Max Package Thermal Density (W/cm2)]]),Table1[[#This Row],[Frequency (GHz)]]&gt;=110,Table1[[#This Row],[Frequency (GHz)]]&lt;170),Table1[[#This Row],[Max Package Thermal Density (W/cm2)]],#N/A)</f>
        <v>#N/A</v>
      </c>
      <c r="AJ68" s="1" t="e">
        <f>IF(AND(ISNUMBER(Table1[[#This Row],[Max Package Thermal Density (W/cm2)]]),Table1[[#This Row],[Frequency (GHz)]]&gt;=170,Table1[[#This Row],[Frequency (GHz)]]&lt;260),Table1[[#This Row],[Max Package Thermal Density (W/cm2)]],#N/A)</f>
        <v>#N/A</v>
      </c>
      <c r="AK68" s="1" t="e">
        <f>IF(AND(ISNUMBER(Table1[[#This Row],[Max Package Thermal Density (W/cm2)]]),Table1[[#This Row],[Frequency (GHz)]]&gt;=260),Table1[[#This Row],[Max Package Thermal Density (W/cm2)]],#N/A)</f>
        <v>#N/A</v>
      </c>
      <c r="AN68" s="1">
        <f>IF(ISNUMBER(Table1[[#This Row],[Max Chip Thermal Density (W/cm2)]]),Table1[[#This Row],[Max Chip Thermal Density (W/cm2)]],#N/A)</f>
        <v>12.416851441241683</v>
      </c>
      <c r="AO68" s="1" t="e">
        <f>IF(AND(ISNUMBER((Table1[[#This Row],[Max Chip Thermal Density (W/cm2)]])),Table1[[#This Row],[Frequency (GHz)]]&lt;20),Table1[[#This Row],[Max Chip Thermal Density (W/cm2)]],#N/A)</f>
        <v>#N/A</v>
      </c>
      <c r="AP68" s="1" t="e">
        <f>IF(AND(ISNUMBER(Table1[[#This Row],[Max Chip Thermal Density (W/cm2)]]),Table1[[#This Row],[Frequency (GHz)]]&gt;=20,Table1[[#This Row],[Frequency (GHz)]]&lt;50),Table1[[#This Row],[Max Chip Thermal Density (W/cm2)]],#N/A)</f>
        <v>#N/A</v>
      </c>
      <c r="AQ68" s="1" t="e">
        <f>IF(AND(ISNUMBER(Table1[[#This Row],[Max Chip Thermal Density (W/cm2)]]),Table1[[#This Row],[Frequency (GHz)]]&gt;=50,Table1[[#This Row],[Frequency (GHz)]]&lt;75),Table1[[#This Row],[Max Chip Thermal Density (W/cm2)]],#N/A)</f>
        <v>#N/A</v>
      </c>
      <c r="AR68" s="1" t="e">
        <f>IF(AND(ISNUMBER(Table1[[#This Row],[Max Chip Thermal Density (W/cm2)]]),Table1[[#This Row],[Frequency (GHz)]]&gt;=75,Table1[[#This Row],[Frequency (GHz)]]&lt;110),Table1[[#This Row],[Max Chip Thermal Density (W/cm2)]],#N/A)</f>
        <v>#N/A</v>
      </c>
      <c r="AS68" s="1" t="e">
        <f>IF(AND(ISNUMBER(Table1[[#This Row],[Max Chip Thermal Density (W/cm2)]]),Table1[[#This Row],[Frequency (GHz)]]&gt;=110,Table1[[#This Row],[Frequency (GHz)]]&lt;170),Table1[[#This Row],[Max Chip Thermal Density (W/cm2)]],#N/A)</f>
        <v>#N/A</v>
      </c>
      <c r="AT68" s="1" t="e">
        <f>IF(AND(ISNUMBER(Table1[[#This Row],[Max Chip Thermal Density (W/cm2)]]),Table1[[#This Row],[Frequency (GHz)]]&gt;=170,Table1[[#This Row],[Frequency (GHz)]]&lt;260),Table1[[#This Row],[Max Chip Thermal Density (W/cm2)]],#N/A)</f>
        <v>#N/A</v>
      </c>
      <c r="AU68" s="1">
        <f>IF(AND(ISNUMBER(Table1[[#This Row],[Max Chip Thermal Density (W/cm2)]]),Table1[[#This Row],[Frequency (GHz)]]&gt;=260),Table1[[#This Row],[Max Chip Thermal Density (W/cm2)]],#N/A)</f>
        <v>12.416851441241683</v>
      </c>
    </row>
    <row r="69" spans="1:47" x14ac:dyDescent="0.2">
      <c r="A69" s="25">
        <f>IF(ISNUMBER(Table1[[#This Row],[Total Pout/Prad (dBm)]]),Table1[[#This Row],[Total Pout/Prad (dBm)]],#N/A)</f>
        <v>-7.8897000433601896</v>
      </c>
      <c r="B69" s="1">
        <f>IF(ISNUMBER(Table1[[#This Row],[Total Pout/Prad (dBm)]]),Table1[[#This Row],[Total '# of TX Elements]],#N/A)</f>
        <v>2</v>
      </c>
      <c r="C69" s="1" t="e">
        <f>IF(ISNUMBER(Table1[[#This Row],[TX EIRP (dBm)]]),Table1[[#This Row],[TX EIRP (dBm)]],#N/A)</f>
        <v>#N/A</v>
      </c>
      <c r="D69" s="1">
        <f>Table1[[#This Row],[TX Pdc (W)]]</f>
        <v>0.27600000000000002</v>
      </c>
      <c r="E69" s="1">
        <f>IF(ISNUMBER(Table1[[#This Row],[Array Aperture Size (cm2)]]),Table1[[#This Row],[Array Aperture Size (cm2)]],IF(Table1[[#This Row],[Antenna on (None, Chip, AiP, PCB)]]="Chip",Table1[[#This Row],[Chip Core Size - X (mm)]]*Table1[[#This Row],[Chip Core Size -Y (mm)]]/100*Table1[[#This Row],['# of IC per Tile]]*Table1[[#This Row],['# of Array Tile]],#N/A))</f>
        <v>2.0276000000000002E-2</v>
      </c>
      <c r="F69" s="1">
        <f t="shared" si="2"/>
        <v>5.8900762040876721E-2</v>
      </c>
      <c r="G69" s="1" t="e">
        <f t="shared" si="3"/>
        <v>#N/A</v>
      </c>
      <c r="L69" s="1" t="e">
        <f>IF(Table1[[#This Row],[Frequency (GHz)]]&lt;20,Plot_Data_Power!F69,#N/A)</f>
        <v>#N/A</v>
      </c>
      <c r="M69" s="1" t="e">
        <f>IF(AND(Table1[[#This Row],[Frequency (GHz)]]&gt;=20,Table1[[#This Row],[Frequency (GHz)]]&lt;50),Plot_Data_Power!F69,#N/A)</f>
        <v>#N/A</v>
      </c>
      <c r="N69" s="1" t="e">
        <f>IF(AND(Table1[[#This Row],[Frequency (GHz)]]&gt;=50,Table1[[#This Row],[Frequency (GHz)]]&lt;75),Plot_Data_Power!F69,#N/A)</f>
        <v>#N/A</v>
      </c>
      <c r="O69" s="1" t="e">
        <f>IF(AND(Table1[[#This Row],[Frequency (GHz)]]&gt;=75,Table1[[#This Row],[Frequency (GHz)]]&lt;110),Plot_Data_Power!F69,#N/A)</f>
        <v>#N/A</v>
      </c>
      <c r="P69" s="1" t="e">
        <f>IF(AND(Table1[[#This Row],[Frequency (GHz)]]&gt;=110,Table1[[#This Row],[Frequency (GHz)]]&lt;170),Plot_Data_Power!F69,#N/A)</f>
        <v>#N/A</v>
      </c>
      <c r="Q69" s="1" t="e">
        <f>IF(AND(Table1[[#This Row],[Frequency (GHz)]]&gt;=170,Table1[[#This Row],[Frequency (GHz)]]&lt;260),Plot_Data_Power!F69,#N/A)</f>
        <v>#N/A</v>
      </c>
      <c r="R69" s="1">
        <f>IF(Table1[[#This Row],[Frequency (GHz)]]&gt;=260,Plot_Data_Power!F69,#N/A)</f>
        <v>5.8900762040876721E-2</v>
      </c>
      <c r="U69" s="1" t="e">
        <f>IF(Table1[[#This Row],[Frequency (GHz)]]&lt;20,Plot_Data_Power!G69,#N/A)</f>
        <v>#N/A</v>
      </c>
      <c r="V69" s="1" t="e">
        <f>IF(AND(Table1[[#This Row],[Frequency (GHz)]]&gt;=20,Table1[[#This Row],[Frequency (GHz)]]&lt;50),Plot_Data_Power!G69,#N/A)</f>
        <v>#N/A</v>
      </c>
      <c r="W69" s="1" t="e">
        <f>IF(AND(Table1[[#This Row],[Frequency (GHz)]]&gt;=50,Table1[[#This Row],[Frequency (GHz)]]&lt;75),Plot_Data_Power!G69,#N/A)</f>
        <v>#N/A</v>
      </c>
      <c r="X69" s="1" t="e">
        <f>IF(AND(Table1[[#This Row],[Frequency (GHz)]]&gt;=75,Table1[[#This Row],[Frequency (GHz)]]&lt;110),Plot_Data_Power!G69,#N/A)</f>
        <v>#N/A</v>
      </c>
      <c r="Y69" s="1" t="e">
        <f>IF(AND(Table1[[#This Row],[Frequency (GHz)]]&gt;=110,Table1[[#This Row],[Frequency (GHz)]]&lt;170),Plot_Data_Power!G69,#N/A)</f>
        <v>#N/A</v>
      </c>
      <c r="Z69" s="1" t="e">
        <f>IF(AND(Table1[[#This Row],[Frequency (GHz)]]&gt;=170,Table1[[#This Row],[Frequency (GHz)]]&lt;260),Plot_Data_Power!G69,#N/A)</f>
        <v>#N/A</v>
      </c>
      <c r="AA69" s="1" t="e">
        <f>IF(Table1[[#This Row],[Frequency (GHz)]]&gt;=260,Plot_Data_Power!G69,#N/A)</f>
        <v>#N/A</v>
      </c>
      <c r="AD69" s="1" t="e">
        <f>IF(ISNUMBER(Table1[[#This Row],[Max Package Thermal Density (W/cm2)]]),Table1[[#This Row],[Max Package Thermal Density (W/cm2)]],#N/A)</f>
        <v>#N/A</v>
      </c>
      <c r="AE69" s="1" t="e">
        <f>IF(AND(ISNUMBER((Table1[[#This Row],[Max Package Thermal Density (W/cm2)]])),Table1[[#This Row],[Frequency (GHz)]]&lt;20),Table1[[#This Row],[Max Package Thermal Density (W/cm2)]],#N/A)</f>
        <v>#N/A</v>
      </c>
      <c r="AF69" s="1" t="e">
        <f>IF(AND(ISNUMBER(Table1[[#This Row],[Max Package Thermal Density (W/cm2)]]),Table1[[#This Row],[Frequency (GHz)]]&gt;=20,Table1[[#This Row],[Frequency (GHz)]]&lt;50),Table1[[#This Row],[Max Package Thermal Density (W/cm2)]],#N/A)</f>
        <v>#N/A</v>
      </c>
      <c r="AG69" s="1" t="e">
        <f>IF(AND(ISNUMBER(Table1[[#This Row],[Max Package Thermal Density (W/cm2)]]),Table1[[#This Row],[Frequency (GHz)]]&gt;=50,Table1[[#This Row],[Frequency (GHz)]]&lt;75),Table1[[#This Row],[Max Package Thermal Density (W/cm2)]],#N/A)</f>
        <v>#N/A</v>
      </c>
      <c r="AH69" s="1" t="e">
        <f>IF(AND(ISNUMBER(Table1[[#This Row],[Max Package Thermal Density (W/cm2)]]),Table1[[#This Row],[Frequency (GHz)]]&gt;=75,Table1[[#This Row],[Frequency (GHz)]]&lt;110),Table1[[#This Row],[Max Package Thermal Density (W/cm2)]],#N/A)</f>
        <v>#N/A</v>
      </c>
      <c r="AI69" s="1" t="e">
        <f>IF(AND(ISNUMBER(Table1[[#This Row],[Max Package Thermal Density (W/cm2)]]),Table1[[#This Row],[Frequency (GHz)]]&gt;=110,Table1[[#This Row],[Frequency (GHz)]]&lt;170),Table1[[#This Row],[Max Package Thermal Density (W/cm2)]],#N/A)</f>
        <v>#N/A</v>
      </c>
      <c r="AJ69" s="1" t="e">
        <f>IF(AND(ISNUMBER(Table1[[#This Row],[Max Package Thermal Density (W/cm2)]]),Table1[[#This Row],[Frequency (GHz)]]&gt;=170,Table1[[#This Row],[Frequency (GHz)]]&lt;260),Table1[[#This Row],[Max Package Thermal Density (W/cm2)]],#N/A)</f>
        <v>#N/A</v>
      </c>
      <c r="AK69" s="1" t="e">
        <f>IF(AND(ISNUMBER(Table1[[#This Row],[Max Package Thermal Density (W/cm2)]]),Table1[[#This Row],[Frequency (GHz)]]&gt;=260),Table1[[#This Row],[Max Package Thermal Density (W/cm2)]],#N/A)</f>
        <v>#N/A</v>
      </c>
      <c r="AN69" s="1">
        <f>IF(ISNUMBER(Table1[[#This Row],[Max Chip Thermal Density (W/cm2)]]),Table1[[#This Row],[Max Chip Thermal Density (W/cm2)]],#N/A)</f>
        <v>10.866666666666667</v>
      </c>
      <c r="AO69" s="1" t="e">
        <f>IF(AND(ISNUMBER((Table1[[#This Row],[Max Chip Thermal Density (W/cm2)]])),Table1[[#This Row],[Frequency (GHz)]]&lt;20),Table1[[#This Row],[Max Chip Thermal Density (W/cm2)]],#N/A)</f>
        <v>#N/A</v>
      </c>
      <c r="AP69" s="1" t="e">
        <f>IF(AND(ISNUMBER(Table1[[#This Row],[Max Chip Thermal Density (W/cm2)]]),Table1[[#This Row],[Frequency (GHz)]]&gt;=20,Table1[[#This Row],[Frequency (GHz)]]&lt;50),Table1[[#This Row],[Max Chip Thermal Density (W/cm2)]],#N/A)</f>
        <v>#N/A</v>
      </c>
      <c r="AQ69" s="1" t="e">
        <f>IF(AND(ISNUMBER(Table1[[#This Row],[Max Chip Thermal Density (W/cm2)]]),Table1[[#This Row],[Frequency (GHz)]]&gt;=50,Table1[[#This Row],[Frequency (GHz)]]&lt;75),Table1[[#This Row],[Max Chip Thermal Density (W/cm2)]],#N/A)</f>
        <v>#N/A</v>
      </c>
      <c r="AR69" s="1" t="e">
        <f>IF(AND(ISNUMBER(Table1[[#This Row],[Max Chip Thermal Density (W/cm2)]]),Table1[[#This Row],[Frequency (GHz)]]&gt;=75,Table1[[#This Row],[Frequency (GHz)]]&lt;110),Table1[[#This Row],[Max Chip Thermal Density (W/cm2)]],#N/A)</f>
        <v>#N/A</v>
      </c>
      <c r="AS69" s="1" t="e">
        <f>IF(AND(ISNUMBER(Table1[[#This Row],[Max Chip Thermal Density (W/cm2)]]),Table1[[#This Row],[Frequency (GHz)]]&gt;=110,Table1[[#This Row],[Frequency (GHz)]]&lt;170),Table1[[#This Row],[Max Chip Thermal Density (W/cm2)]],#N/A)</f>
        <v>#N/A</v>
      </c>
      <c r="AT69" s="1" t="e">
        <f>IF(AND(ISNUMBER(Table1[[#This Row],[Max Chip Thermal Density (W/cm2)]]),Table1[[#This Row],[Frequency (GHz)]]&gt;=170,Table1[[#This Row],[Frequency (GHz)]]&lt;260),Table1[[#This Row],[Max Chip Thermal Density (W/cm2)]],#N/A)</f>
        <v>#N/A</v>
      </c>
      <c r="AU69" s="1">
        <f>IF(AND(ISNUMBER(Table1[[#This Row],[Max Chip Thermal Density (W/cm2)]]),Table1[[#This Row],[Frequency (GHz)]]&gt;=260),Table1[[#This Row],[Max Chip Thermal Density (W/cm2)]],#N/A)</f>
        <v>10.866666666666667</v>
      </c>
    </row>
    <row r="70" spans="1:47" x14ac:dyDescent="0.2">
      <c r="A70" s="25">
        <f>IF(ISNUMBER(Table1[[#This Row],[Total Pout/Prad (dBm)]]),Table1[[#This Row],[Total Pout/Prad (dBm)]],#N/A)</f>
        <v>10</v>
      </c>
      <c r="B70" s="1">
        <f>IF(ISNUMBER(Table1[[#This Row],[Total Pout/Prad (dBm)]]),Table1[[#This Row],[Total '# of TX Elements]],#N/A)</f>
        <v>1</v>
      </c>
      <c r="C70" s="1" t="e">
        <f>IF(ISNUMBER(Table1[[#This Row],[TX EIRP (dBm)]]),Table1[[#This Row],[TX EIRP (dBm)]],#N/A)</f>
        <v>#N/A</v>
      </c>
      <c r="D70" s="1">
        <f>Table1[[#This Row],[TX Pdc (W)]]</f>
        <v>6.7000000000000004E-2</v>
      </c>
      <c r="E70"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70" s="1">
        <f t="shared" si="2"/>
        <v>14.925373134328357</v>
      </c>
      <c r="G70" s="1" t="e">
        <f t="shared" si="3"/>
        <v>#N/A</v>
      </c>
      <c r="L70" s="1" t="e">
        <f>IF(Table1[[#This Row],[Frequency (GHz)]]&lt;20,Plot_Data_Power!F70,#N/A)</f>
        <v>#N/A</v>
      </c>
      <c r="M70" s="1" t="e">
        <f>IF(AND(Table1[[#This Row],[Frequency (GHz)]]&gt;=20,Table1[[#This Row],[Frequency (GHz)]]&lt;50),Plot_Data_Power!F70,#N/A)</f>
        <v>#N/A</v>
      </c>
      <c r="N70" s="1">
        <f>IF(AND(Table1[[#This Row],[Frequency (GHz)]]&gt;=50,Table1[[#This Row],[Frequency (GHz)]]&lt;75),Plot_Data_Power!F70,#N/A)</f>
        <v>14.925373134328357</v>
      </c>
      <c r="O70" s="1" t="e">
        <f>IF(AND(Table1[[#This Row],[Frequency (GHz)]]&gt;=75,Table1[[#This Row],[Frequency (GHz)]]&lt;110),Plot_Data_Power!F70,#N/A)</f>
        <v>#N/A</v>
      </c>
      <c r="P70" s="1" t="e">
        <f>IF(AND(Table1[[#This Row],[Frequency (GHz)]]&gt;=110,Table1[[#This Row],[Frequency (GHz)]]&lt;170),Plot_Data_Power!F70,#N/A)</f>
        <v>#N/A</v>
      </c>
      <c r="Q70" s="1" t="e">
        <f>IF(AND(Table1[[#This Row],[Frequency (GHz)]]&gt;=170,Table1[[#This Row],[Frequency (GHz)]]&lt;260),Plot_Data_Power!F70,#N/A)</f>
        <v>#N/A</v>
      </c>
      <c r="R70" s="1" t="e">
        <f>IF(Table1[[#This Row],[Frequency (GHz)]]&gt;=260,Plot_Data_Power!F70,#N/A)</f>
        <v>#N/A</v>
      </c>
      <c r="U70" s="1" t="e">
        <f>IF(Table1[[#This Row],[Frequency (GHz)]]&lt;20,Plot_Data_Power!G70,#N/A)</f>
        <v>#N/A</v>
      </c>
      <c r="V70" s="1" t="e">
        <f>IF(AND(Table1[[#This Row],[Frequency (GHz)]]&gt;=20,Table1[[#This Row],[Frequency (GHz)]]&lt;50),Plot_Data_Power!G70,#N/A)</f>
        <v>#N/A</v>
      </c>
      <c r="W70" s="1" t="e">
        <f>IF(AND(Table1[[#This Row],[Frequency (GHz)]]&gt;=50,Table1[[#This Row],[Frequency (GHz)]]&lt;75),Plot_Data_Power!G70,#N/A)</f>
        <v>#N/A</v>
      </c>
      <c r="X70" s="1" t="e">
        <f>IF(AND(Table1[[#This Row],[Frequency (GHz)]]&gt;=75,Table1[[#This Row],[Frequency (GHz)]]&lt;110),Plot_Data_Power!G70,#N/A)</f>
        <v>#N/A</v>
      </c>
      <c r="Y70" s="1" t="e">
        <f>IF(AND(Table1[[#This Row],[Frequency (GHz)]]&gt;=110,Table1[[#This Row],[Frequency (GHz)]]&lt;170),Plot_Data_Power!G70,#N/A)</f>
        <v>#N/A</v>
      </c>
      <c r="Z70" s="1" t="e">
        <f>IF(AND(Table1[[#This Row],[Frequency (GHz)]]&gt;=170,Table1[[#This Row],[Frequency (GHz)]]&lt;260),Plot_Data_Power!G70,#N/A)</f>
        <v>#N/A</v>
      </c>
      <c r="AA70" s="1" t="e">
        <f>IF(Table1[[#This Row],[Frequency (GHz)]]&gt;=260,Plot_Data_Power!G70,#N/A)</f>
        <v>#N/A</v>
      </c>
      <c r="AD70" s="1" t="e">
        <f>IF(ISNUMBER(Table1[[#This Row],[Max Package Thermal Density (W/cm2)]]),Table1[[#This Row],[Max Package Thermal Density (W/cm2)]],#N/A)</f>
        <v>#N/A</v>
      </c>
      <c r="AE70" s="1" t="e">
        <f>IF(AND(ISNUMBER((Table1[[#This Row],[Max Package Thermal Density (W/cm2)]])),Table1[[#This Row],[Frequency (GHz)]]&lt;20),Table1[[#This Row],[Max Package Thermal Density (W/cm2)]],#N/A)</f>
        <v>#N/A</v>
      </c>
      <c r="AF70" s="1" t="e">
        <f>IF(AND(ISNUMBER(Table1[[#This Row],[Max Package Thermal Density (W/cm2)]]),Table1[[#This Row],[Frequency (GHz)]]&gt;=20,Table1[[#This Row],[Frequency (GHz)]]&lt;50),Table1[[#This Row],[Max Package Thermal Density (W/cm2)]],#N/A)</f>
        <v>#N/A</v>
      </c>
      <c r="AG70" s="1" t="e">
        <f>IF(AND(ISNUMBER(Table1[[#This Row],[Max Package Thermal Density (W/cm2)]]),Table1[[#This Row],[Frequency (GHz)]]&gt;=50,Table1[[#This Row],[Frequency (GHz)]]&lt;75),Table1[[#This Row],[Max Package Thermal Density (W/cm2)]],#N/A)</f>
        <v>#N/A</v>
      </c>
      <c r="AH70" s="1" t="e">
        <f>IF(AND(ISNUMBER(Table1[[#This Row],[Max Package Thermal Density (W/cm2)]]),Table1[[#This Row],[Frequency (GHz)]]&gt;=75,Table1[[#This Row],[Frequency (GHz)]]&lt;110),Table1[[#This Row],[Max Package Thermal Density (W/cm2)]],#N/A)</f>
        <v>#N/A</v>
      </c>
      <c r="AI70" s="1" t="e">
        <f>IF(AND(ISNUMBER(Table1[[#This Row],[Max Package Thermal Density (W/cm2)]]),Table1[[#This Row],[Frequency (GHz)]]&gt;=110,Table1[[#This Row],[Frequency (GHz)]]&lt;170),Table1[[#This Row],[Max Package Thermal Density (W/cm2)]],#N/A)</f>
        <v>#N/A</v>
      </c>
      <c r="AJ70" s="1" t="e">
        <f>IF(AND(ISNUMBER(Table1[[#This Row],[Max Package Thermal Density (W/cm2)]]),Table1[[#This Row],[Frequency (GHz)]]&gt;=170,Table1[[#This Row],[Frequency (GHz)]]&lt;260),Table1[[#This Row],[Max Package Thermal Density (W/cm2)]],#N/A)</f>
        <v>#N/A</v>
      </c>
      <c r="AK70" s="1" t="e">
        <f>IF(AND(ISNUMBER(Table1[[#This Row],[Max Package Thermal Density (W/cm2)]]),Table1[[#This Row],[Frequency (GHz)]]&gt;=260),Table1[[#This Row],[Max Package Thermal Density (W/cm2)]],#N/A)</f>
        <v>#N/A</v>
      </c>
      <c r="AN70" s="1">
        <f>IF(ISNUMBER(Table1[[#This Row],[Max Chip Thermal Density (W/cm2)]]),Table1[[#This Row],[Max Chip Thermal Density (W/cm2)]],#N/A)</f>
        <v>4.379084967320261</v>
      </c>
      <c r="AO70" s="1" t="e">
        <f>IF(AND(ISNUMBER((Table1[[#This Row],[Max Chip Thermal Density (W/cm2)]])),Table1[[#This Row],[Frequency (GHz)]]&lt;20),Table1[[#This Row],[Max Chip Thermal Density (W/cm2)]],#N/A)</f>
        <v>#N/A</v>
      </c>
      <c r="AP70" s="1" t="e">
        <f>IF(AND(ISNUMBER(Table1[[#This Row],[Max Chip Thermal Density (W/cm2)]]),Table1[[#This Row],[Frequency (GHz)]]&gt;=20,Table1[[#This Row],[Frequency (GHz)]]&lt;50),Table1[[#This Row],[Max Chip Thermal Density (W/cm2)]],#N/A)</f>
        <v>#N/A</v>
      </c>
      <c r="AQ70" s="1">
        <f>IF(AND(ISNUMBER(Table1[[#This Row],[Max Chip Thermal Density (W/cm2)]]),Table1[[#This Row],[Frequency (GHz)]]&gt;=50,Table1[[#This Row],[Frequency (GHz)]]&lt;75),Table1[[#This Row],[Max Chip Thermal Density (W/cm2)]],#N/A)</f>
        <v>4.379084967320261</v>
      </c>
      <c r="AR70" s="1" t="e">
        <f>IF(AND(ISNUMBER(Table1[[#This Row],[Max Chip Thermal Density (W/cm2)]]),Table1[[#This Row],[Frequency (GHz)]]&gt;=75,Table1[[#This Row],[Frequency (GHz)]]&lt;110),Table1[[#This Row],[Max Chip Thermal Density (W/cm2)]],#N/A)</f>
        <v>#N/A</v>
      </c>
      <c r="AS70" s="1" t="e">
        <f>IF(AND(ISNUMBER(Table1[[#This Row],[Max Chip Thermal Density (W/cm2)]]),Table1[[#This Row],[Frequency (GHz)]]&gt;=110,Table1[[#This Row],[Frequency (GHz)]]&lt;170),Table1[[#This Row],[Max Chip Thermal Density (W/cm2)]],#N/A)</f>
        <v>#N/A</v>
      </c>
      <c r="AT70" s="1" t="e">
        <f>IF(AND(ISNUMBER(Table1[[#This Row],[Max Chip Thermal Density (W/cm2)]]),Table1[[#This Row],[Frequency (GHz)]]&gt;=170,Table1[[#This Row],[Frequency (GHz)]]&lt;260),Table1[[#This Row],[Max Chip Thermal Density (W/cm2)]],#N/A)</f>
        <v>#N/A</v>
      </c>
      <c r="AU70" s="1" t="e">
        <f>IF(AND(ISNUMBER(Table1[[#This Row],[Max Chip Thermal Density (W/cm2)]]),Table1[[#This Row],[Frequency (GHz)]]&gt;=260),Table1[[#This Row],[Max Chip Thermal Density (W/cm2)]],#N/A)</f>
        <v>#N/A</v>
      </c>
    </row>
    <row r="71" spans="1:47" x14ac:dyDescent="0.2">
      <c r="A71" s="25" t="e">
        <f>IF(ISNUMBER(Table1[[#This Row],[Total Pout/Prad (dBm)]]),Table1[[#This Row],[Total Pout/Prad (dBm)]],#N/A)</f>
        <v>#N/A</v>
      </c>
      <c r="B71" s="1" t="e">
        <f>IF(ISNUMBER(Table1[[#This Row],[Total Pout/Prad (dBm)]]),Table1[[#This Row],[Total '# of TX Elements]],#N/A)</f>
        <v>#N/A</v>
      </c>
      <c r="C71" s="1" t="e">
        <f>IF(ISNUMBER(Table1[[#This Row],[TX EIRP (dBm)]]),Table1[[#This Row],[TX EIRP (dBm)]],#N/A)</f>
        <v>#N/A</v>
      </c>
      <c r="D71" s="1" t="str">
        <f>Table1[[#This Row],[TX Pdc (W)]]</f>
        <v>N/A</v>
      </c>
      <c r="E71" s="1">
        <f>IF(ISNUMBER(Table1[[#This Row],[Array Aperture Size (cm2)]]),Table1[[#This Row],[Array Aperture Size (cm2)]],IF(Table1[[#This Row],[Antenna on (None, Chip, AiP, PCB)]]="Chip",Table1[[#This Row],[Chip Core Size - X (mm)]]*Table1[[#This Row],[Chip Core Size -Y (mm)]]/100*Table1[[#This Row],['# of IC per Tile]]*Table1[[#This Row],['# of Array Tile]],#N/A))</f>
        <v>3.8809</v>
      </c>
      <c r="F71" s="1" t="e">
        <f t="shared" si="2"/>
        <v>#N/A</v>
      </c>
      <c r="G71" s="1" t="e">
        <f t="shared" si="3"/>
        <v>#N/A</v>
      </c>
      <c r="L71" s="1" t="e">
        <f>IF(Table1[[#This Row],[Frequency (GHz)]]&lt;20,Plot_Data_Power!F71,#N/A)</f>
        <v>#N/A</v>
      </c>
      <c r="M71" s="1" t="e">
        <f>IF(AND(Table1[[#This Row],[Frequency (GHz)]]&gt;=20,Table1[[#This Row],[Frequency (GHz)]]&lt;50),Plot_Data_Power!F71,#N/A)</f>
        <v>#N/A</v>
      </c>
      <c r="N71" s="1" t="e">
        <f>IF(AND(Table1[[#This Row],[Frequency (GHz)]]&gt;=50,Table1[[#This Row],[Frequency (GHz)]]&lt;75),Plot_Data_Power!F71,#N/A)</f>
        <v>#N/A</v>
      </c>
      <c r="O71" s="1" t="e">
        <f>IF(AND(Table1[[#This Row],[Frequency (GHz)]]&gt;=75,Table1[[#This Row],[Frequency (GHz)]]&lt;110),Plot_Data_Power!F71,#N/A)</f>
        <v>#N/A</v>
      </c>
      <c r="P71" s="1" t="e">
        <f>IF(AND(Table1[[#This Row],[Frequency (GHz)]]&gt;=110,Table1[[#This Row],[Frequency (GHz)]]&lt;170),Plot_Data_Power!F71,#N/A)</f>
        <v>#N/A</v>
      </c>
      <c r="Q71" s="1" t="e">
        <f>IF(AND(Table1[[#This Row],[Frequency (GHz)]]&gt;=170,Table1[[#This Row],[Frequency (GHz)]]&lt;260),Plot_Data_Power!F71,#N/A)</f>
        <v>#N/A</v>
      </c>
      <c r="R71" s="1" t="e">
        <f>IF(Table1[[#This Row],[Frequency (GHz)]]&gt;=260,Plot_Data_Power!F71,#N/A)</f>
        <v>#N/A</v>
      </c>
      <c r="U71" s="1" t="e">
        <f>IF(Table1[[#This Row],[Frequency (GHz)]]&lt;20,Plot_Data_Power!G71,#N/A)</f>
        <v>#N/A</v>
      </c>
      <c r="V71" s="1" t="e">
        <f>IF(AND(Table1[[#This Row],[Frequency (GHz)]]&gt;=20,Table1[[#This Row],[Frequency (GHz)]]&lt;50),Plot_Data_Power!G71,#N/A)</f>
        <v>#N/A</v>
      </c>
      <c r="W71" s="1" t="e">
        <f>IF(AND(Table1[[#This Row],[Frequency (GHz)]]&gt;=50,Table1[[#This Row],[Frequency (GHz)]]&lt;75),Plot_Data_Power!G71,#N/A)</f>
        <v>#N/A</v>
      </c>
      <c r="X71" s="1" t="e">
        <f>IF(AND(Table1[[#This Row],[Frequency (GHz)]]&gt;=75,Table1[[#This Row],[Frequency (GHz)]]&lt;110),Plot_Data_Power!G71,#N/A)</f>
        <v>#N/A</v>
      </c>
      <c r="Y71" s="1" t="e">
        <f>IF(AND(Table1[[#This Row],[Frequency (GHz)]]&gt;=110,Table1[[#This Row],[Frequency (GHz)]]&lt;170),Plot_Data_Power!G71,#N/A)</f>
        <v>#N/A</v>
      </c>
      <c r="Z71" s="1" t="e">
        <f>IF(AND(Table1[[#This Row],[Frequency (GHz)]]&gt;=170,Table1[[#This Row],[Frequency (GHz)]]&lt;260),Plot_Data_Power!G71,#N/A)</f>
        <v>#N/A</v>
      </c>
      <c r="AA71" s="1" t="e">
        <f>IF(Table1[[#This Row],[Frequency (GHz)]]&gt;=260,Plot_Data_Power!G71,#N/A)</f>
        <v>#N/A</v>
      </c>
      <c r="AD71" s="1">
        <f>IF(ISNUMBER(Table1[[#This Row],[Max Package Thermal Density (W/cm2)]]),Table1[[#This Row],[Max Package Thermal Density (W/cm2)]],#N/A)</f>
        <v>6.9921925326599501</v>
      </c>
      <c r="AE71" s="1">
        <f>IF(AND(ISNUMBER((Table1[[#This Row],[Max Package Thermal Density (W/cm2)]])),Table1[[#This Row],[Frequency (GHz)]]&lt;20),Table1[[#This Row],[Max Package Thermal Density (W/cm2)]],#N/A)</f>
        <v>6.9921925326599501</v>
      </c>
      <c r="AF71" s="1" t="e">
        <f>IF(AND(ISNUMBER(Table1[[#This Row],[Max Package Thermal Density (W/cm2)]]),Table1[[#This Row],[Frequency (GHz)]]&gt;=20,Table1[[#This Row],[Frequency (GHz)]]&lt;50),Table1[[#This Row],[Max Package Thermal Density (W/cm2)]],#N/A)</f>
        <v>#N/A</v>
      </c>
      <c r="AG71" s="1" t="e">
        <f>IF(AND(ISNUMBER(Table1[[#This Row],[Max Package Thermal Density (W/cm2)]]),Table1[[#This Row],[Frequency (GHz)]]&gt;=50,Table1[[#This Row],[Frequency (GHz)]]&lt;75),Table1[[#This Row],[Max Package Thermal Density (W/cm2)]],#N/A)</f>
        <v>#N/A</v>
      </c>
      <c r="AH71" s="1" t="e">
        <f>IF(AND(ISNUMBER(Table1[[#This Row],[Max Package Thermal Density (W/cm2)]]),Table1[[#This Row],[Frequency (GHz)]]&gt;=75,Table1[[#This Row],[Frequency (GHz)]]&lt;110),Table1[[#This Row],[Max Package Thermal Density (W/cm2)]],#N/A)</f>
        <v>#N/A</v>
      </c>
      <c r="AI71" s="1" t="e">
        <f>IF(AND(ISNUMBER(Table1[[#This Row],[Max Package Thermal Density (W/cm2)]]),Table1[[#This Row],[Frequency (GHz)]]&gt;=110,Table1[[#This Row],[Frequency (GHz)]]&lt;170),Table1[[#This Row],[Max Package Thermal Density (W/cm2)]],#N/A)</f>
        <v>#N/A</v>
      </c>
      <c r="AJ71" s="1" t="e">
        <f>IF(AND(ISNUMBER(Table1[[#This Row],[Max Package Thermal Density (W/cm2)]]),Table1[[#This Row],[Frequency (GHz)]]&gt;=170,Table1[[#This Row],[Frequency (GHz)]]&lt;260),Table1[[#This Row],[Max Package Thermal Density (W/cm2)]],#N/A)</f>
        <v>#N/A</v>
      </c>
      <c r="AK71" s="1" t="e">
        <f>IF(AND(ISNUMBER(Table1[[#This Row],[Max Package Thermal Density (W/cm2)]]),Table1[[#This Row],[Frequency (GHz)]]&gt;=260),Table1[[#This Row],[Max Package Thermal Density (W/cm2)]],#N/A)</f>
        <v>#N/A</v>
      </c>
      <c r="AN71" s="1" t="e">
        <f>IF(ISNUMBER(Table1[[#This Row],[Max Chip Thermal Density (W/cm2)]]),Table1[[#This Row],[Max Chip Thermal Density (W/cm2)]],#N/A)</f>
        <v>#N/A</v>
      </c>
      <c r="AO71" s="1" t="e">
        <f>IF(AND(ISNUMBER((Table1[[#This Row],[Max Chip Thermal Density (W/cm2)]])),Table1[[#This Row],[Frequency (GHz)]]&lt;20),Table1[[#This Row],[Max Chip Thermal Density (W/cm2)]],#N/A)</f>
        <v>#N/A</v>
      </c>
      <c r="AP71" s="1" t="e">
        <f>IF(AND(ISNUMBER(Table1[[#This Row],[Max Chip Thermal Density (W/cm2)]]),Table1[[#This Row],[Frequency (GHz)]]&gt;=20,Table1[[#This Row],[Frequency (GHz)]]&lt;50),Table1[[#This Row],[Max Chip Thermal Density (W/cm2)]],#N/A)</f>
        <v>#N/A</v>
      </c>
      <c r="AQ71" s="1" t="e">
        <f>IF(AND(ISNUMBER(Table1[[#This Row],[Max Chip Thermal Density (W/cm2)]]),Table1[[#This Row],[Frequency (GHz)]]&gt;=50,Table1[[#This Row],[Frequency (GHz)]]&lt;75),Table1[[#This Row],[Max Chip Thermal Density (W/cm2)]],#N/A)</f>
        <v>#N/A</v>
      </c>
      <c r="AR71" s="1" t="e">
        <f>IF(AND(ISNUMBER(Table1[[#This Row],[Max Chip Thermal Density (W/cm2)]]),Table1[[#This Row],[Frequency (GHz)]]&gt;=75,Table1[[#This Row],[Frequency (GHz)]]&lt;110),Table1[[#This Row],[Max Chip Thermal Density (W/cm2)]],#N/A)</f>
        <v>#N/A</v>
      </c>
      <c r="AS71" s="1" t="e">
        <f>IF(AND(ISNUMBER(Table1[[#This Row],[Max Chip Thermal Density (W/cm2)]]),Table1[[#This Row],[Frequency (GHz)]]&gt;=110,Table1[[#This Row],[Frequency (GHz)]]&lt;170),Table1[[#This Row],[Max Chip Thermal Density (W/cm2)]],#N/A)</f>
        <v>#N/A</v>
      </c>
      <c r="AT71" s="1" t="e">
        <f>IF(AND(ISNUMBER(Table1[[#This Row],[Max Chip Thermal Density (W/cm2)]]),Table1[[#This Row],[Frequency (GHz)]]&gt;=170,Table1[[#This Row],[Frequency (GHz)]]&lt;260),Table1[[#This Row],[Max Chip Thermal Density (W/cm2)]],#N/A)</f>
        <v>#N/A</v>
      </c>
      <c r="AU71" s="1" t="e">
        <f>IF(AND(ISNUMBER(Table1[[#This Row],[Max Chip Thermal Density (W/cm2)]]),Table1[[#This Row],[Frequency (GHz)]]&gt;=260),Table1[[#This Row],[Max Chip Thermal Density (W/cm2)]],#N/A)</f>
        <v>#N/A</v>
      </c>
    </row>
    <row r="72" spans="1:47" x14ac:dyDescent="0.2">
      <c r="A72" s="25">
        <f>IF(ISNUMBER(Table1[[#This Row],[Total Pout/Prad (dBm)]]),Table1[[#This Row],[Total Pout/Prad (dBm)]],#N/A)</f>
        <v>36.0823996531185</v>
      </c>
      <c r="B72" s="1">
        <f>IF(ISNUMBER(Table1[[#This Row],[Total Pout/Prad (dBm)]]),Table1[[#This Row],[Total '# of TX Elements]],#N/A)</f>
        <v>256</v>
      </c>
      <c r="C72" s="1">
        <f>IF(ISNUMBER(Table1[[#This Row],[TX EIRP (dBm)]]),Table1[[#This Row],[TX EIRP (dBm)]],#N/A)</f>
        <v>66.5</v>
      </c>
      <c r="D72" s="1">
        <f>Table1[[#This Row],[TX Pdc (W)]]</f>
        <v>76.8</v>
      </c>
      <c r="E72" s="1">
        <f>IF(ISNUMBER(Table1[[#This Row],[Array Aperture Size (cm2)]]),Table1[[#This Row],[Array Aperture Size (cm2)]],IF(Table1[[#This Row],[Antenna on (None, Chip, AiP, PCB)]]="Chip",Table1[[#This Row],[Chip Core Size - X (mm)]]*Table1[[#This Row],[Chip Core Size -Y (mm)]]/100*Table1[[#This Row],['# of IC per Tile]]*Table1[[#This Row],['# of Array Tile]],#N/A))</f>
        <v>2.9240999999999997</v>
      </c>
      <c r="F72" s="1">
        <f t="shared" si="2"/>
        <v>5.282977308203721</v>
      </c>
      <c r="G72" s="1">
        <f t="shared" si="3"/>
        <v>5816.1926061323466</v>
      </c>
      <c r="L72" s="1">
        <f>IF(Table1[[#This Row],[Frequency (GHz)]]&lt;20,Plot_Data_Power!F72,#N/A)</f>
        <v>5.282977308203721</v>
      </c>
      <c r="M72" s="1" t="e">
        <f>IF(AND(Table1[[#This Row],[Frequency (GHz)]]&gt;=20,Table1[[#This Row],[Frequency (GHz)]]&lt;50),Plot_Data_Power!F72,#N/A)</f>
        <v>#N/A</v>
      </c>
      <c r="N72" s="1" t="e">
        <f>IF(AND(Table1[[#This Row],[Frequency (GHz)]]&gt;=50,Table1[[#This Row],[Frequency (GHz)]]&lt;75),Plot_Data_Power!F72,#N/A)</f>
        <v>#N/A</v>
      </c>
      <c r="O72" s="1" t="e">
        <f>IF(AND(Table1[[#This Row],[Frequency (GHz)]]&gt;=75,Table1[[#This Row],[Frequency (GHz)]]&lt;110),Plot_Data_Power!F72,#N/A)</f>
        <v>#N/A</v>
      </c>
      <c r="P72" s="1" t="e">
        <f>IF(AND(Table1[[#This Row],[Frequency (GHz)]]&gt;=110,Table1[[#This Row],[Frequency (GHz)]]&lt;170),Plot_Data_Power!F72,#N/A)</f>
        <v>#N/A</v>
      </c>
      <c r="Q72" s="1" t="e">
        <f>IF(AND(Table1[[#This Row],[Frequency (GHz)]]&gt;=170,Table1[[#This Row],[Frequency (GHz)]]&lt;260),Plot_Data_Power!F72,#N/A)</f>
        <v>#N/A</v>
      </c>
      <c r="R72" s="1" t="e">
        <f>IF(Table1[[#This Row],[Frequency (GHz)]]&gt;=260,Plot_Data_Power!F72,#N/A)</f>
        <v>#N/A</v>
      </c>
      <c r="U72" s="1">
        <f>IF(Table1[[#This Row],[Frequency (GHz)]]&lt;20,Plot_Data_Power!G72,#N/A)</f>
        <v>5816.1926061323466</v>
      </c>
      <c r="V72" s="1" t="e">
        <f>IF(AND(Table1[[#This Row],[Frequency (GHz)]]&gt;=20,Table1[[#This Row],[Frequency (GHz)]]&lt;50),Plot_Data_Power!G72,#N/A)</f>
        <v>#N/A</v>
      </c>
      <c r="W72" s="1" t="e">
        <f>IF(AND(Table1[[#This Row],[Frequency (GHz)]]&gt;=50,Table1[[#This Row],[Frequency (GHz)]]&lt;75),Plot_Data_Power!G72,#N/A)</f>
        <v>#N/A</v>
      </c>
      <c r="X72" s="1" t="e">
        <f>IF(AND(Table1[[#This Row],[Frequency (GHz)]]&gt;=75,Table1[[#This Row],[Frequency (GHz)]]&lt;110),Plot_Data_Power!G72,#N/A)</f>
        <v>#N/A</v>
      </c>
      <c r="Y72" s="1" t="e">
        <f>IF(AND(Table1[[#This Row],[Frequency (GHz)]]&gt;=110,Table1[[#This Row],[Frequency (GHz)]]&lt;170),Plot_Data_Power!G72,#N/A)</f>
        <v>#N/A</v>
      </c>
      <c r="Z72" s="1" t="e">
        <f>IF(AND(Table1[[#This Row],[Frequency (GHz)]]&gt;=170,Table1[[#This Row],[Frequency (GHz)]]&lt;260),Plot_Data_Power!G72,#N/A)</f>
        <v>#N/A</v>
      </c>
      <c r="AA72" s="1" t="e">
        <f>IF(Table1[[#This Row],[Frequency (GHz)]]&gt;=260,Plot_Data_Power!G72,#N/A)</f>
        <v>#N/A</v>
      </c>
      <c r="AD72" s="1">
        <f>IF(ISNUMBER(Table1[[#This Row],[Max Package Thermal Density (W/cm2)]]),Table1[[#This Row],[Max Package Thermal Density (W/cm2)]],#N/A)</f>
        <v>26.26449163845286</v>
      </c>
      <c r="AE72" s="1">
        <f>IF(AND(ISNUMBER((Table1[[#This Row],[Max Package Thermal Density (W/cm2)]])),Table1[[#This Row],[Frequency (GHz)]]&lt;20),Table1[[#This Row],[Max Package Thermal Density (W/cm2)]],#N/A)</f>
        <v>26.26449163845286</v>
      </c>
      <c r="AF72" s="1" t="e">
        <f>IF(AND(ISNUMBER(Table1[[#This Row],[Max Package Thermal Density (W/cm2)]]),Table1[[#This Row],[Frequency (GHz)]]&gt;=20,Table1[[#This Row],[Frequency (GHz)]]&lt;50),Table1[[#This Row],[Max Package Thermal Density (W/cm2)]],#N/A)</f>
        <v>#N/A</v>
      </c>
      <c r="AG72" s="1" t="e">
        <f>IF(AND(ISNUMBER(Table1[[#This Row],[Max Package Thermal Density (W/cm2)]]),Table1[[#This Row],[Frequency (GHz)]]&gt;=50,Table1[[#This Row],[Frequency (GHz)]]&lt;75),Table1[[#This Row],[Max Package Thermal Density (W/cm2)]],#N/A)</f>
        <v>#N/A</v>
      </c>
      <c r="AH72" s="1" t="e">
        <f>IF(AND(ISNUMBER(Table1[[#This Row],[Max Package Thermal Density (W/cm2)]]),Table1[[#This Row],[Frequency (GHz)]]&gt;=75,Table1[[#This Row],[Frequency (GHz)]]&lt;110),Table1[[#This Row],[Max Package Thermal Density (W/cm2)]],#N/A)</f>
        <v>#N/A</v>
      </c>
      <c r="AI72" s="1" t="e">
        <f>IF(AND(ISNUMBER(Table1[[#This Row],[Max Package Thermal Density (W/cm2)]]),Table1[[#This Row],[Frequency (GHz)]]&gt;=110,Table1[[#This Row],[Frequency (GHz)]]&lt;170),Table1[[#This Row],[Max Package Thermal Density (W/cm2)]],#N/A)</f>
        <v>#N/A</v>
      </c>
      <c r="AJ72" s="1" t="e">
        <f>IF(AND(ISNUMBER(Table1[[#This Row],[Max Package Thermal Density (W/cm2)]]),Table1[[#This Row],[Frequency (GHz)]]&gt;=170,Table1[[#This Row],[Frequency (GHz)]]&lt;260),Table1[[#This Row],[Max Package Thermal Density (W/cm2)]],#N/A)</f>
        <v>#N/A</v>
      </c>
      <c r="AK72" s="1" t="e">
        <f>IF(AND(ISNUMBER(Table1[[#This Row],[Max Package Thermal Density (W/cm2)]]),Table1[[#This Row],[Frequency (GHz)]]&gt;=260),Table1[[#This Row],[Max Package Thermal Density (W/cm2)]],#N/A)</f>
        <v>#N/A</v>
      </c>
      <c r="AN72" s="1" t="e">
        <f>IF(ISNUMBER(Table1[[#This Row],[Max Chip Thermal Density (W/cm2)]]),Table1[[#This Row],[Max Chip Thermal Density (W/cm2)]],#N/A)</f>
        <v>#N/A</v>
      </c>
      <c r="AO72" s="1" t="e">
        <f>IF(AND(ISNUMBER((Table1[[#This Row],[Max Chip Thermal Density (W/cm2)]])),Table1[[#This Row],[Frequency (GHz)]]&lt;20),Table1[[#This Row],[Max Chip Thermal Density (W/cm2)]],#N/A)</f>
        <v>#N/A</v>
      </c>
      <c r="AP72" s="1" t="e">
        <f>IF(AND(ISNUMBER(Table1[[#This Row],[Max Chip Thermal Density (W/cm2)]]),Table1[[#This Row],[Frequency (GHz)]]&gt;=20,Table1[[#This Row],[Frequency (GHz)]]&lt;50),Table1[[#This Row],[Max Chip Thermal Density (W/cm2)]],#N/A)</f>
        <v>#N/A</v>
      </c>
      <c r="AQ72" s="1" t="e">
        <f>IF(AND(ISNUMBER(Table1[[#This Row],[Max Chip Thermal Density (W/cm2)]]),Table1[[#This Row],[Frequency (GHz)]]&gt;=50,Table1[[#This Row],[Frequency (GHz)]]&lt;75),Table1[[#This Row],[Max Chip Thermal Density (W/cm2)]],#N/A)</f>
        <v>#N/A</v>
      </c>
      <c r="AR72" s="1" t="e">
        <f>IF(AND(ISNUMBER(Table1[[#This Row],[Max Chip Thermal Density (W/cm2)]]),Table1[[#This Row],[Frequency (GHz)]]&gt;=75,Table1[[#This Row],[Frequency (GHz)]]&lt;110),Table1[[#This Row],[Max Chip Thermal Density (W/cm2)]],#N/A)</f>
        <v>#N/A</v>
      </c>
      <c r="AS72" s="1" t="e">
        <f>IF(AND(ISNUMBER(Table1[[#This Row],[Max Chip Thermal Density (W/cm2)]]),Table1[[#This Row],[Frequency (GHz)]]&gt;=110,Table1[[#This Row],[Frequency (GHz)]]&lt;170),Table1[[#This Row],[Max Chip Thermal Density (W/cm2)]],#N/A)</f>
        <v>#N/A</v>
      </c>
      <c r="AT72" s="1" t="e">
        <f>IF(AND(ISNUMBER(Table1[[#This Row],[Max Chip Thermal Density (W/cm2)]]),Table1[[#This Row],[Frequency (GHz)]]&gt;=170,Table1[[#This Row],[Frequency (GHz)]]&lt;260),Table1[[#This Row],[Max Chip Thermal Density (W/cm2)]],#N/A)</f>
        <v>#N/A</v>
      </c>
      <c r="AU72" s="1" t="e">
        <f>IF(AND(ISNUMBER(Table1[[#This Row],[Max Chip Thermal Density (W/cm2)]]),Table1[[#This Row],[Frequency (GHz)]]&gt;=260),Table1[[#This Row],[Max Chip Thermal Density (W/cm2)]],#N/A)</f>
        <v>#N/A</v>
      </c>
    </row>
    <row r="73" spans="1:47" x14ac:dyDescent="0.2">
      <c r="A73" s="25" t="e">
        <f>IF(ISNUMBER(Table1[[#This Row],[Total Pout/Prad (dBm)]]),Table1[[#This Row],[Total Pout/Prad (dBm)]],#N/A)</f>
        <v>#N/A</v>
      </c>
      <c r="B73" s="1" t="e">
        <f>IF(ISNUMBER(Table1[[#This Row],[Total Pout/Prad (dBm)]]),Table1[[#This Row],[Total '# of TX Elements]],#N/A)</f>
        <v>#N/A</v>
      </c>
      <c r="C73" s="1" t="e">
        <f>IF(ISNUMBER(Table1[[#This Row],[TX EIRP (dBm)]]),Table1[[#This Row],[TX EIRP (dBm)]],#N/A)</f>
        <v>#N/A</v>
      </c>
      <c r="D73" s="1" t="str">
        <f>Table1[[#This Row],[TX Pdc (W)]]</f>
        <v>N/A</v>
      </c>
      <c r="E73" s="1">
        <f>IF(ISNUMBER(Table1[[#This Row],[Array Aperture Size (cm2)]]),Table1[[#This Row],[Array Aperture Size (cm2)]],IF(Table1[[#This Row],[Antenna on (None, Chip, AiP, PCB)]]="Chip",Table1[[#This Row],[Chip Core Size - X (mm)]]*Table1[[#This Row],[Chip Core Size -Y (mm)]]/100*Table1[[#This Row],['# of IC per Tile]]*Table1[[#This Row],['# of Array Tile]],#N/A))</f>
        <v>100</v>
      </c>
      <c r="F73" s="1" t="e">
        <f t="shared" si="2"/>
        <v>#N/A</v>
      </c>
      <c r="G73" s="1" t="e">
        <f t="shared" si="3"/>
        <v>#N/A</v>
      </c>
      <c r="L73" s="1" t="e">
        <f>IF(Table1[[#This Row],[Frequency (GHz)]]&lt;20,Plot_Data_Power!F73,#N/A)</f>
        <v>#N/A</v>
      </c>
      <c r="M73" s="1" t="e">
        <f>IF(AND(Table1[[#This Row],[Frequency (GHz)]]&gt;=20,Table1[[#This Row],[Frequency (GHz)]]&lt;50),Plot_Data_Power!F73,#N/A)</f>
        <v>#N/A</v>
      </c>
      <c r="N73" s="1" t="e">
        <f>IF(AND(Table1[[#This Row],[Frequency (GHz)]]&gt;=50,Table1[[#This Row],[Frequency (GHz)]]&lt;75),Plot_Data_Power!F73,#N/A)</f>
        <v>#N/A</v>
      </c>
      <c r="O73" s="1" t="e">
        <f>IF(AND(Table1[[#This Row],[Frequency (GHz)]]&gt;=75,Table1[[#This Row],[Frequency (GHz)]]&lt;110),Plot_Data_Power!F73,#N/A)</f>
        <v>#N/A</v>
      </c>
      <c r="P73" s="1" t="e">
        <f>IF(AND(Table1[[#This Row],[Frequency (GHz)]]&gt;=110,Table1[[#This Row],[Frequency (GHz)]]&lt;170),Plot_Data_Power!F73,#N/A)</f>
        <v>#N/A</v>
      </c>
      <c r="Q73" s="1" t="e">
        <f>IF(AND(Table1[[#This Row],[Frequency (GHz)]]&gt;=170,Table1[[#This Row],[Frequency (GHz)]]&lt;260),Plot_Data_Power!F73,#N/A)</f>
        <v>#N/A</v>
      </c>
      <c r="R73" s="1" t="e">
        <f>IF(Table1[[#This Row],[Frequency (GHz)]]&gt;=260,Plot_Data_Power!F73,#N/A)</f>
        <v>#N/A</v>
      </c>
      <c r="U73" s="1" t="e">
        <f>IF(Table1[[#This Row],[Frequency (GHz)]]&lt;20,Plot_Data_Power!G73,#N/A)</f>
        <v>#N/A</v>
      </c>
      <c r="V73" s="1" t="e">
        <f>IF(AND(Table1[[#This Row],[Frequency (GHz)]]&gt;=20,Table1[[#This Row],[Frequency (GHz)]]&lt;50),Plot_Data_Power!G73,#N/A)</f>
        <v>#N/A</v>
      </c>
      <c r="W73" s="1" t="e">
        <f>IF(AND(Table1[[#This Row],[Frequency (GHz)]]&gt;=50,Table1[[#This Row],[Frequency (GHz)]]&lt;75),Plot_Data_Power!G73,#N/A)</f>
        <v>#N/A</v>
      </c>
      <c r="X73" s="1" t="e">
        <f>IF(AND(Table1[[#This Row],[Frequency (GHz)]]&gt;=75,Table1[[#This Row],[Frequency (GHz)]]&lt;110),Plot_Data_Power!G73,#N/A)</f>
        <v>#N/A</v>
      </c>
      <c r="Y73" s="1" t="e">
        <f>IF(AND(Table1[[#This Row],[Frequency (GHz)]]&gt;=110,Table1[[#This Row],[Frequency (GHz)]]&lt;170),Plot_Data_Power!G73,#N/A)</f>
        <v>#N/A</v>
      </c>
      <c r="Z73" s="1" t="e">
        <f>IF(AND(Table1[[#This Row],[Frequency (GHz)]]&gt;=170,Table1[[#This Row],[Frequency (GHz)]]&lt;260),Plot_Data_Power!G73,#N/A)</f>
        <v>#N/A</v>
      </c>
      <c r="AA73" s="1" t="e">
        <f>IF(Table1[[#This Row],[Frequency (GHz)]]&gt;=260,Plot_Data_Power!G73,#N/A)</f>
        <v>#N/A</v>
      </c>
      <c r="AD73" s="1" t="e">
        <f>IF(ISNUMBER(Table1[[#This Row],[Max Package Thermal Density (W/cm2)]]),Table1[[#This Row],[Max Package Thermal Density (W/cm2)]],#N/A)</f>
        <v>#N/A</v>
      </c>
      <c r="AE73" s="1" t="e">
        <f>IF(AND(ISNUMBER((Table1[[#This Row],[Max Package Thermal Density (W/cm2)]])),Table1[[#This Row],[Frequency (GHz)]]&lt;20),Table1[[#This Row],[Max Package Thermal Density (W/cm2)]],#N/A)</f>
        <v>#N/A</v>
      </c>
      <c r="AF73" s="1" t="e">
        <f>IF(AND(ISNUMBER(Table1[[#This Row],[Max Package Thermal Density (W/cm2)]]),Table1[[#This Row],[Frequency (GHz)]]&gt;=20,Table1[[#This Row],[Frequency (GHz)]]&lt;50),Table1[[#This Row],[Max Package Thermal Density (W/cm2)]],#N/A)</f>
        <v>#N/A</v>
      </c>
      <c r="AG73" s="1" t="e">
        <f>IF(AND(ISNUMBER(Table1[[#This Row],[Max Package Thermal Density (W/cm2)]]),Table1[[#This Row],[Frequency (GHz)]]&gt;=50,Table1[[#This Row],[Frequency (GHz)]]&lt;75),Table1[[#This Row],[Max Package Thermal Density (W/cm2)]],#N/A)</f>
        <v>#N/A</v>
      </c>
      <c r="AH73" s="1" t="e">
        <f>IF(AND(ISNUMBER(Table1[[#This Row],[Max Package Thermal Density (W/cm2)]]),Table1[[#This Row],[Frequency (GHz)]]&gt;=75,Table1[[#This Row],[Frequency (GHz)]]&lt;110),Table1[[#This Row],[Max Package Thermal Density (W/cm2)]],#N/A)</f>
        <v>#N/A</v>
      </c>
      <c r="AI73" s="1" t="e">
        <f>IF(AND(ISNUMBER(Table1[[#This Row],[Max Package Thermal Density (W/cm2)]]),Table1[[#This Row],[Frequency (GHz)]]&gt;=110,Table1[[#This Row],[Frequency (GHz)]]&lt;170),Table1[[#This Row],[Max Package Thermal Density (W/cm2)]],#N/A)</f>
        <v>#N/A</v>
      </c>
      <c r="AJ73" s="1" t="e">
        <f>IF(AND(ISNUMBER(Table1[[#This Row],[Max Package Thermal Density (W/cm2)]]),Table1[[#This Row],[Frequency (GHz)]]&gt;=170,Table1[[#This Row],[Frequency (GHz)]]&lt;260),Table1[[#This Row],[Max Package Thermal Density (W/cm2)]],#N/A)</f>
        <v>#N/A</v>
      </c>
      <c r="AK73" s="1" t="e">
        <f>IF(AND(ISNUMBER(Table1[[#This Row],[Max Package Thermal Density (W/cm2)]]),Table1[[#This Row],[Frequency (GHz)]]&gt;=260),Table1[[#This Row],[Max Package Thermal Density (W/cm2)]],#N/A)</f>
        <v>#N/A</v>
      </c>
      <c r="AN73" s="1" t="e">
        <f>IF(ISNUMBER(Table1[[#This Row],[Max Chip Thermal Density (W/cm2)]]),Table1[[#This Row],[Max Chip Thermal Density (W/cm2)]],#N/A)</f>
        <v>#N/A</v>
      </c>
      <c r="AO73" s="1" t="e">
        <f>IF(AND(ISNUMBER((Table1[[#This Row],[Max Chip Thermal Density (W/cm2)]])),Table1[[#This Row],[Frequency (GHz)]]&lt;20),Table1[[#This Row],[Max Chip Thermal Density (W/cm2)]],#N/A)</f>
        <v>#N/A</v>
      </c>
      <c r="AP73" s="1" t="e">
        <f>IF(AND(ISNUMBER(Table1[[#This Row],[Max Chip Thermal Density (W/cm2)]]),Table1[[#This Row],[Frequency (GHz)]]&gt;=20,Table1[[#This Row],[Frequency (GHz)]]&lt;50),Table1[[#This Row],[Max Chip Thermal Density (W/cm2)]],#N/A)</f>
        <v>#N/A</v>
      </c>
      <c r="AQ73" s="1" t="e">
        <f>IF(AND(ISNUMBER(Table1[[#This Row],[Max Chip Thermal Density (W/cm2)]]),Table1[[#This Row],[Frequency (GHz)]]&gt;=50,Table1[[#This Row],[Frequency (GHz)]]&lt;75),Table1[[#This Row],[Max Chip Thermal Density (W/cm2)]],#N/A)</f>
        <v>#N/A</v>
      </c>
      <c r="AR73" s="1" t="e">
        <f>IF(AND(ISNUMBER(Table1[[#This Row],[Max Chip Thermal Density (W/cm2)]]),Table1[[#This Row],[Frequency (GHz)]]&gt;=75,Table1[[#This Row],[Frequency (GHz)]]&lt;110),Table1[[#This Row],[Max Chip Thermal Density (W/cm2)]],#N/A)</f>
        <v>#N/A</v>
      </c>
      <c r="AS73" s="1" t="e">
        <f>IF(AND(ISNUMBER(Table1[[#This Row],[Max Chip Thermal Density (W/cm2)]]),Table1[[#This Row],[Frequency (GHz)]]&gt;=110,Table1[[#This Row],[Frequency (GHz)]]&lt;170),Table1[[#This Row],[Max Chip Thermal Density (W/cm2)]],#N/A)</f>
        <v>#N/A</v>
      </c>
      <c r="AT73" s="1" t="e">
        <f>IF(AND(ISNUMBER(Table1[[#This Row],[Max Chip Thermal Density (W/cm2)]]),Table1[[#This Row],[Frequency (GHz)]]&gt;=170,Table1[[#This Row],[Frequency (GHz)]]&lt;260),Table1[[#This Row],[Max Chip Thermal Density (W/cm2)]],#N/A)</f>
        <v>#N/A</v>
      </c>
      <c r="AU73" s="1" t="e">
        <f>IF(AND(ISNUMBER(Table1[[#This Row],[Max Chip Thermal Density (W/cm2)]]),Table1[[#This Row],[Frequency (GHz)]]&gt;=260),Table1[[#This Row],[Max Chip Thermal Density (W/cm2)]],#N/A)</f>
        <v>#N/A</v>
      </c>
    </row>
    <row r="74" spans="1:47" x14ac:dyDescent="0.2">
      <c r="A74" s="25" t="e">
        <f>IF(ISNUMBER(Table1[[#This Row],[Total Pout/Prad (dBm)]]),Table1[[#This Row],[Total Pout/Prad (dBm)]],#N/A)</f>
        <v>#N/A</v>
      </c>
      <c r="B74" s="1" t="e">
        <f>IF(ISNUMBER(Table1[[#This Row],[Total Pout/Prad (dBm)]]),Table1[[#This Row],[Total '# of TX Elements]],#N/A)</f>
        <v>#N/A</v>
      </c>
      <c r="C74" s="1" t="e">
        <f>IF(ISNUMBER(Table1[[#This Row],[TX EIRP (dBm)]]),Table1[[#This Row],[TX EIRP (dBm)]],#N/A)</f>
        <v>#N/A</v>
      </c>
      <c r="D74" s="1">
        <f>Table1[[#This Row],[TX Pdc (W)]]</f>
        <v>0.5</v>
      </c>
      <c r="E74"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74" s="1" t="e">
        <f t="shared" si="2"/>
        <v>#N/A</v>
      </c>
      <c r="G74" s="1" t="e">
        <f t="shared" si="3"/>
        <v>#N/A</v>
      </c>
      <c r="L74" s="1" t="e">
        <f>IF(Table1[[#This Row],[Frequency (GHz)]]&lt;20,Plot_Data_Power!F74,#N/A)</f>
        <v>#N/A</v>
      </c>
      <c r="M74" s="1" t="e">
        <f>IF(AND(Table1[[#This Row],[Frequency (GHz)]]&gt;=20,Table1[[#This Row],[Frequency (GHz)]]&lt;50),Plot_Data_Power!F74,#N/A)</f>
        <v>#N/A</v>
      </c>
      <c r="N74" s="1" t="e">
        <f>IF(AND(Table1[[#This Row],[Frequency (GHz)]]&gt;=50,Table1[[#This Row],[Frequency (GHz)]]&lt;75),Plot_Data_Power!F74,#N/A)</f>
        <v>#N/A</v>
      </c>
      <c r="O74" s="1" t="e">
        <f>IF(AND(Table1[[#This Row],[Frequency (GHz)]]&gt;=75,Table1[[#This Row],[Frequency (GHz)]]&lt;110),Plot_Data_Power!F74,#N/A)</f>
        <v>#N/A</v>
      </c>
      <c r="P74" s="1" t="e">
        <f>IF(AND(Table1[[#This Row],[Frequency (GHz)]]&gt;=110,Table1[[#This Row],[Frequency (GHz)]]&lt;170),Plot_Data_Power!F74,#N/A)</f>
        <v>#N/A</v>
      </c>
      <c r="Q74" s="1" t="e">
        <f>IF(AND(Table1[[#This Row],[Frequency (GHz)]]&gt;=170,Table1[[#This Row],[Frequency (GHz)]]&lt;260),Plot_Data_Power!F74,#N/A)</f>
        <v>#N/A</v>
      </c>
      <c r="R74" s="1" t="e">
        <f>IF(Table1[[#This Row],[Frequency (GHz)]]&gt;=260,Plot_Data_Power!F74,#N/A)</f>
        <v>#N/A</v>
      </c>
      <c r="U74" s="1" t="e">
        <f>IF(Table1[[#This Row],[Frequency (GHz)]]&lt;20,Plot_Data_Power!G74,#N/A)</f>
        <v>#N/A</v>
      </c>
      <c r="V74" s="1" t="e">
        <f>IF(AND(Table1[[#This Row],[Frequency (GHz)]]&gt;=20,Table1[[#This Row],[Frequency (GHz)]]&lt;50),Plot_Data_Power!G74,#N/A)</f>
        <v>#N/A</v>
      </c>
      <c r="W74" s="1" t="e">
        <f>IF(AND(Table1[[#This Row],[Frequency (GHz)]]&gt;=50,Table1[[#This Row],[Frequency (GHz)]]&lt;75),Plot_Data_Power!G74,#N/A)</f>
        <v>#N/A</v>
      </c>
      <c r="X74" s="1" t="e">
        <f>IF(AND(Table1[[#This Row],[Frequency (GHz)]]&gt;=75,Table1[[#This Row],[Frequency (GHz)]]&lt;110),Plot_Data_Power!G74,#N/A)</f>
        <v>#N/A</v>
      </c>
      <c r="Y74" s="1" t="e">
        <f>IF(AND(Table1[[#This Row],[Frequency (GHz)]]&gt;=110,Table1[[#This Row],[Frequency (GHz)]]&lt;170),Plot_Data_Power!G74,#N/A)</f>
        <v>#N/A</v>
      </c>
      <c r="Z74" s="1" t="e">
        <f>IF(AND(Table1[[#This Row],[Frequency (GHz)]]&gt;=170,Table1[[#This Row],[Frequency (GHz)]]&lt;260),Plot_Data_Power!G74,#N/A)</f>
        <v>#N/A</v>
      </c>
      <c r="AA74" s="1" t="e">
        <f>IF(Table1[[#This Row],[Frequency (GHz)]]&gt;=260,Plot_Data_Power!G74,#N/A)</f>
        <v>#N/A</v>
      </c>
      <c r="AD74" s="1" t="e">
        <f>IF(ISNUMBER(Table1[[#This Row],[Max Package Thermal Density (W/cm2)]]),Table1[[#This Row],[Max Package Thermal Density (W/cm2)]],#N/A)</f>
        <v>#N/A</v>
      </c>
      <c r="AE74" s="1" t="e">
        <f>IF(AND(ISNUMBER((Table1[[#This Row],[Max Package Thermal Density (W/cm2)]])),Table1[[#This Row],[Frequency (GHz)]]&lt;20),Table1[[#This Row],[Max Package Thermal Density (W/cm2)]],#N/A)</f>
        <v>#N/A</v>
      </c>
      <c r="AF74" s="1" t="e">
        <f>IF(AND(ISNUMBER(Table1[[#This Row],[Max Package Thermal Density (W/cm2)]]),Table1[[#This Row],[Frequency (GHz)]]&gt;=20,Table1[[#This Row],[Frequency (GHz)]]&lt;50),Table1[[#This Row],[Max Package Thermal Density (W/cm2)]],#N/A)</f>
        <v>#N/A</v>
      </c>
      <c r="AG74" s="1" t="e">
        <f>IF(AND(ISNUMBER(Table1[[#This Row],[Max Package Thermal Density (W/cm2)]]),Table1[[#This Row],[Frequency (GHz)]]&gt;=50,Table1[[#This Row],[Frequency (GHz)]]&lt;75),Table1[[#This Row],[Max Package Thermal Density (W/cm2)]],#N/A)</f>
        <v>#N/A</v>
      </c>
      <c r="AH74" s="1" t="e">
        <f>IF(AND(ISNUMBER(Table1[[#This Row],[Max Package Thermal Density (W/cm2)]]),Table1[[#This Row],[Frequency (GHz)]]&gt;=75,Table1[[#This Row],[Frequency (GHz)]]&lt;110),Table1[[#This Row],[Max Package Thermal Density (W/cm2)]],#N/A)</f>
        <v>#N/A</v>
      </c>
      <c r="AI74" s="1" t="e">
        <f>IF(AND(ISNUMBER(Table1[[#This Row],[Max Package Thermal Density (W/cm2)]]),Table1[[#This Row],[Frequency (GHz)]]&gt;=110,Table1[[#This Row],[Frequency (GHz)]]&lt;170),Table1[[#This Row],[Max Package Thermal Density (W/cm2)]],#N/A)</f>
        <v>#N/A</v>
      </c>
      <c r="AJ74" s="1" t="e">
        <f>IF(AND(ISNUMBER(Table1[[#This Row],[Max Package Thermal Density (W/cm2)]]),Table1[[#This Row],[Frequency (GHz)]]&gt;=170,Table1[[#This Row],[Frequency (GHz)]]&lt;260),Table1[[#This Row],[Max Package Thermal Density (W/cm2)]],#N/A)</f>
        <v>#N/A</v>
      </c>
      <c r="AK74" s="1" t="e">
        <f>IF(AND(ISNUMBER(Table1[[#This Row],[Max Package Thermal Density (W/cm2)]]),Table1[[#This Row],[Frequency (GHz)]]&gt;=260),Table1[[#This Row],[Max Package Thermal Density (W/cm2)]],#N/A)</f>
        <v>#N/A</v>
      </c>
      <c r="AN74" s="1">
        <f>IF(ISNUMBER(Table1[[#This Row],[Max Chip Thermal Density (W/cm2)]]),Table1[[#This Row],[Max Chip Thermal Density (W/cm2)]],#N/A)</f>
        <v>4.6728971962616823</v>
      </c>
      <c r="AO74" s="1">
        <f>IF(AND(ISNUMBER((Table1[[#This Row],[Max Chip Thermal Density (W/cm2)]])),Table1[[#This Row],[Frequency (GHz)]]&lt;20),Table1[[#This Row],[Max Chip Thermal Density (W/cm2)]],#N/A)</f>
        <v>4.6728971962616823</v>
      </c>
      <c r="AP74" s="1" t="e">
        <f>IF(AND(ISNUMBER(Table1[[#This Row],[Max Chip Thermal Density (W/cm2)]]),Table1[[#This Row],[Frequency (GHz)]]&gt;=20,Table1[[#This Row],[Frequency (GHz)]]&lt;50),Table1[[#This Row],[Max Chip Thermal Density (W/cm2)]],#N/A)</f>
        <v>#N/A</v>
      </c>
      <c r="AQ74" s="1" t="e">
        <f>IF(AND(ISNUMBER(Table1[[#This Row],[Max Chip Thermal Density (W/cm2)]]),Table1[[#This Row],[Frequency (GHz)]]&gt;=50,Table1[[#This Row],[Frequency (GHz)]]&lt;75),Table1[[#This Row],[Max Chip Thermal Density (W/cm2)]],#N/A)</f>
        <v>#N/A</v>
      </c>
      <c r="AR74" s="1" t="e">
        <f>IF(AND(ISNUMBER(Table1[[#This Row],[Max Chip Thermal Density (W/cm2)]]),Table1[[#This Row],[Frequency (GHz)]]&gt;=75,Table1[[#This Row],[Frequency (GHz)]]&lt;110),Table1[[#This Row],[Max Chip Thermal Density (W/cm2)]],#N/A)</f>
        <v>#N/A</v>
      </c>
      <c r="AS74" s="1" t="e">
        <f>IF(AND(ISNUMBER(Table1[[#This Row],[Max Chip Thermal Density (W/cm2)]]),Table1[[#This Row],[Frequency (GHz)]]&gt;=110,Table1[[#This Row],[Frequency (GHz)]]&lt;170),Table1[[#This Row],[Max Chip Thermal Density (W/cm2)]],#N/A)</f>
        <v>#N/A</v>
      </c>
      <c r="AT74" s="1" t="e">
        <f>IF(AND(ISNUMBER(Table1[[#This Row],[Max Chip Thermal Density (W/cm2)]]),Table1[[#This Row],[Frequency (GHz)]]&gt;=170,Table1[[#This Row],[Frequency (GHz)]]&lt;260),Table1[[#This Row],[Max Chip Thermal Density (W/cm2)]],#N/A)</f>
        <v>#N/A</v>
      </c>
      <c r="AU74" s="1" t="e">
        <f>IF(AND(ISNUMBER(Table1[[#This Row],[Max Chip Thermal Density (W/cm2)]]),Table1[[#This Row],[Frequency (GHz)]]&gt;=260),Table1[[#This Row],[Max Chip Thermal Density (W/cm2)]],#N/A)</f>
        <v>#N/A</v>
      </c>
    </row>
    <row r="75" spans="1:47" x14ac:dyDescent="0.2">
      <c r="A75" s="25">
        <f>IF(ISNUMBER(Table1[[#This Row],[Total Pout/Prad (dBm)]]),Table1[[#This Row],[Total Pout/Prad (dBm)]],#N/A)</f>
        <v>16.420599913279624</v>
      </c>
      <c r="B75" s="1">
        <f>IF(ISNUMBER(Table1[[#This Row],[Total Pout/Prad (dBm)]]),Table1[[#This Row],[Total '# of TX Elements]],#N/A)</f>
        <v>4</v>
      </c>
      <c r="C75" s="1" t="e">
        <f>IF(ISNUMBER(Table1[[#This Row],[TX EIRP (dBm)]]),Table1[[#This Row],[TX EIRP (dBm)]],#N/A)</f>
        <v>#N/A</v>
      </c>
      <c r="D75" s="1">
        <f>Table1[[#This Row],[TX Pdc (W)]]</f>
        <v>0.5</v>
      </c>
      <c r="E75"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75" s="1">
        <f t="shared" si="2"/>
        <v>8.7718255691454807</v>
      </c>
      <c r="G75" s="1" t="e">
        <f t="shared" si="3"/>
        <v>#N/A</v>
      </c>
      <c r="L75" s="1" t="e">
        <f>IF(Table1[[#This Row],[Frequency (GHz)]]&lt;20,Plot_Data_Power!F75,#N/A)</f>
        <v>#N/A</v>
      </c>
      <c r="M75" s="1">
        <f>IF(AND(Table1[[#This Row],[Frequency (GHz)]]&gt;=20,Table1[[#This Row],[Frequency (GHz)]]&lt;50),Plot_Data_Power!F75,#N/A)</f>
        <v>8.7718255691454807</v>
      </c>
      <c r="N75" s="1" t="e">
        <f>IF(AND(Table1[[#This Row],[Frequency (GHz)]]&gt;=50,Table1[[#This Row],[Frequency (GHz)]]&lt;75),Plot_Data_Power!F75,#N/A)</f>
        <v>#N/A</v>
      </c>
      <c r="O75" s="1" t="e">
        <f>IF(AND(Table1[[#This Row],[Frequency (GHz)]]&gt;=75,Table1[[#This Row],[Frequency (GHz)]]&lt;110),Plot_Data_Power!F75,#N/A)</f>
        <v>#N/A</v>
      </c>
      <c r="P75" s="1" t="e">
        <f>IF(AND(Table1[[#This Row],[Frequency (GHz)]]&gt;=110,Table1[[#This Row],[Frequency (GHz)]]&lt;170),Plot_Data_Power!F75,#N/A)</f>
        <v>#N/A</v>
      </c>
      <c r="Q75" s="1" t="e">
        <f>IF(AND(Table1[[#This Row],[Frequency (GHz)]]&gt;=170,Table1[[#This Row],[Frequency (GHz)]]&lt;260),Plot_Data_Power!F75,#N/A)</f>
        <v>#N/A</v>
      </c>
      <c r="R75" s="1" t="e">
        <f>IF(Table1[[#This Row],[Frequency (GHz)]]&gt;=260,Plot_Data_Power!F75,#N/A)</f>
        <v>#N/A</v>
      </c>
      <c r="U75" s="1" t="e">
        <f>IF(Table1[[#This Row],[Frequency (GHz)]]&lt;20,Plot_Data_Power!G75,#N/A)</f>
        <v>#N/A</v>
      </c>
      <c r="V75" s="1" t="e">
        <f>IF(AND(Table1[[#This Row],[Frequency (GHz)]]&gt;=20,Table1[[#This Row],[Frequency (GHz)]]&lt;50),Plot_Data_Power!G75,#N/A)</f>
        <v>#N/A</v>
      </c>
      <c r="W75" s="1" t="e">
        <f>IF(AND(Table1[[#This Row],[Frequency (GHz)]]&gt;=50,Table1[[#This Row],[Frequency (GHz)]]&lt;75),Plot_Data_Power!G75,#N/A)</f>
        <v>#N/A</v>
      </c>
      <c r="X75" s="1" t="e">
        <f>IF(AND(Table1[[#This Row],[Frequency (GHz)]]&gt;=75,Table1[[#This Row],[Frequency (GHz)]]&lt;110),Plot_Data_Power!G75,#N/A)</f>
        <v>#N/A</v>
      </c>
      <c r="Y75" s="1" t="e">
        <f>IF(AND(Table1[[#This Row],[Frequency (GHz)]]&gt;=110,Table1[[#This Row],[Frequency (GHz)]]&lt;170),Plot_Data_Power!G75,#N/A)</f>
        <v>#N/A</v>
      </c>
      <c r="Z75" s="1" t="e">
        <f>IF(AND(Table1[[#This Row],[Frequency (GHz)]]&gt;=170,Table1[[#This Row],[Frequency (GHz)]]&lt;260),Plot_Data_Power!G75,#N/A)</f>
        <v>#N/A</v>
      </c>
      <c r="AA75" s="1" t="e">
        <f>IF(Table1[[#This Row],[Frequency (GHz)]]&gt;=260,Plot_Data_Power!G75,#N/A)</f>
        <v>#N/A</v>
      </c>
      <c r="AD75" s="1" t="e">
        <f>IF(ISNUMBER(Table1[[#This Row],[Max Package Thermal Density (W/cm2)]]),Table1[[#This Row],[Max Package Thermal Density (W/cm2)]],#N/A)</f>
        <v>#N/A</v>
      </c>
      <c r="AE75" s="1" t="e">
        <f>IF(AND(ISNUMBER((Table1[[#This Row],[Max Package Thermal Density (W/cm2)]])),Table1[[#This Row],[Frequency (GHz)]]&lt;20),Table1[[#This Row],[Max Package Thermal Density (W/cm2)]],#N/A)</f>
        <v>#N/A</v>
      </c>
      <c r="AF75" s="1" t="e">
        <f>IF(AND(ISNUMBER(Table1[[#This Row],[Max Package Thermal Density (W/cm2)]]),Table1[[#This Row],[Frequency (GHz)]]&gt;=20,Table1[[#This Row],[Frequency (GHz)]]&lt;50),Table1[[#This Row],[Max Package Thermal Density (W/cm2)]],#N/A)</f>
        <v>#N/A</v>
      </c>
      <c r="AG75" s="1" t="e">
        <f>IF(AND(ISNUMBER(Table1[[#This Row],[Max Package Thermal Density (W/cm2)]]),Table1[[#This Row],[Frequency (GHz)]]&gt;=50,Table1[[#This Row],[Frequency (GHz)]]&lt;75),Table1[[#This Row],[Max Package Thermal Density (W/cm2)]],#N/A)</f>
        <v>#N/A</v>
      </c>
      <c r="AH75" s="1" t="e">
        <f>IF(AND(ISNUMBER(Table1[[#This Row],[Max Package Thermal Density (W/cm2)]]),Table1[[#This Row],[Frequency (GHz)]]&gt;=75,Table1[[#This Row],[Frequency (GHz)]]&lt;110),Table1[[#This Row],[Max Package Thermal Density (W/cm2)]],#N/A)</f>
        <v>#N/A</v>
      </c>
      <c r="AI75" s="1" t="e">
        <f>IF(AND(ISNUMBER(Table1[[#This Row],[Max Package Thermal Density (W/cm2)]]),Table1[[#This Row],[Frequency (GHz)]]&gt;=110,Table1[[#This Row],[Frequency (GHz)]]&lt;170),Table1[[#This Row],[Max Package Thermal Density (W/cm2)]],#N/A)</f>
        <v>#N/A</v>
      </c>
      <c r="AJ75" s="1" t="e">
        <f>IF(AND(ISNUMBER(Table1[[#This Row],[Max Package Thermal Density (W/cm2)]]),Table1[[#This Row],[Frequency (GHz)]]&gt;=170,Table1[[#This Row],[Frequency (GHz)]]&lt;260),Table1[[#This Row],[Max Package Thermal Density (W/cm2)]],#N/A)</f>
        <v>#N/A</v>
      </c>
      <c r="AK75" s="1" t="e">
        <f>IF(AND(ISNUMBER(Table1[[#This Row],[Max Package Thermal Density (W/cm2)]]),Table1[[#This Row],[Frequency (GHz)]]&gt;=260),Table1[[#This Row],[Max Package Thermal Density (W/cm2)]],#N/A)</f>
        <v>#N/A</v>
      </c>
      <c r="AN75" s="1">
        <f>IF(ISNUMBER(Table1[[#This Row],[Max Chip Thermal Density (W/cm2)]]),Table1[[#This Row],[Max Chip Thermal Density (W/cm2)]],#N/A)</f>
        <v>4.6728971962616823</v>
      </c>
      <c r="AO75" s="1" t="e">
        <f>IF(AND(ISNUMBER((Table1[[#This Row],[Max Chip Thermal Density (W/cm2)]])),Table1[[#This Row],[Frequency (GHz)]]&lt;20),Table1[[#This Row],[Max Chip Thermal Density (W/cm2)]],#N/A)</f>
        <v>#N/A</v>
      </c>
      <c r="AP75" s="1">
        <f>IF(AND(ISNUMBER(Table1[[#This Row],[Max Chip Thermal Density (W/cm2)]]),Table1[[#This Row],[Frequency (GHz)]]&gt;=20,Table1[[#This Row],[Frequency (GHz)]]&lt;50),Table1[[#This Row],[Max Chip Thermal Density (W/cm2)]],#N/A)</f>
        <v>4.6728971962616823</v>
      </c>
      <c r="AQ75" s="1" t="e">
        <f>IF(AND(ISNUMBER(Table1[[#This Row],[Max Chip Thermal Density (W/cm2)]]),Table1[[#This Row],[Frequency (GHz)]]&gt;=50,Table1[[#This Row],[Frequency (GHz)]]&lt;75),Table1[[#This Row],[Max Chip Thermal Density (W/cm2)]],#N/A)</f>
        <v>#N/A</v>
      </c>
      <c r="AR75" s="1" t="e">
        <f>IF(AND(ISNUMBER(Table1[[#This Row],[Max Chip Thermal Density (W/cm2)]]),Table1[[#This Row],[Frequency (GHz)]]&gt;=75,Table1[[#This Row],[Frequency (GHz)]]&lt;110),Table1[[#This Row],[Max Chip Thermal Density (W/cm2)]],#N/A)</f>
        <v>#N/A</v>
      </c>
      <c r="AS75" s="1" t="e">
        <f>IF(AND(ISNUMBER(Table1[[#This Row],[Max Chip Thermal Density (W/cm2)]]),Table1[[#This Row],[Frequency (GHz)]]&gt;=110,Table1[[#This Row],[Frequency (GHz)]]&lt;170),Table1[[#This Row],[Max Chip Thermal Density (W/cm2)]],#N/A)</f>
        <v>#N/A</v>
      </c>
      <c r="AT75" s="1" t="e">
        <f>IF(AND(ISNUMBER(Table1[[#This Row],[Max Chip Thermal Density (W/cm2)]]),Table1[[#This Row],[Frequency (GHz)]]&gt;=170,Table1[[#This Row],[Frequency (GHz)]]&lt;260),Table1[[#This Row],[Max Chip Thermal Density (W/cm2)]],#N/A)</f>
        <v>#N/A</v>
      </c>
      <c r="AU75" s="1" t="e">
        <f>IF(AND(ISNUMBER(Table1[[#This Row],[Max Chip Thermal Density (W/cm2)]]),Table1[[#This Row],[Frequency (GHz)]]&gt;=260),Table1[[#This Row],[Max Chip Thermal Density (W/cm2)]],#N/A)</f>
        <v>#N/A</v>
      </c>
    </row>
    <row r="76" spans="1:47" x14ac:dyDescent="0.2">
      <c r="A76" s="25" t="e">
        <f>IF(ISNUMBER(Table1[[#This Row],[Total Pout/Prad (dBm)]]),Table1[[#This Row],[Total Pout/Prad (dBm)]],#N/A)</f>
        <v>#N/A</v>
      </c>
      <c r="B76" s="1" t="e">
        <f>IF(ISNUMBER(Table1[[#This Row],[Total Pout/Prad (dBm)]]),Table1[[#This Row],[Total '# of TX Elements]],#N/A)</f>
        <v>#N/A</v>
      </c>
      <c r="C76" s="1" t="e">
        <f>IF(ISNUMBER(Table1[[#This Row],[TX EIRP (dBm)]]),Table1[[#This Row],[TX EIRP (dBm)]],#N/A)</f>
        <v>#N/A</v>
      </c>
      <c r="D76" s="1" t="str">
        <f>Table1[[#This Row],[TX Pdc (W)]]</f>
        <v>N/A</v>
      </c>
      <c r="E76" s="1">
        <f>IF(ISNUMBER(Table1[[#This Row],[Array Aperture Size (cm2)]]),Table1[[#This Row],[Array Aperture Size (cm2)]],IF(Table1[[#This Row],[Antenna on (None, Chip, AiP, PCB)]]="Chip",Table1[[#This Row],[Chip Core Size - X (mm)]]*Table1[[#This Row],[Chip Core Size -Y (mm)]]/100*Table1[[#This Row],['# of IC per Tile]]*Table1[[#This Row],['# of Array Tile]],#N/A))</f>
        <v>13.181999999999999</v>
      </c>
      <c r="F76" s="1" t="e">
        <f t="shared" si="2"/>
        <v>#N/A</v>
      </c>
      <c r="G76" s="1" t="e">
        <f t="shared" si="3"/>
        <v>#N/A</v>
      </c>
      <c r="L76" s="1" t="e">
        <f>IF(Table1[[#This Row],[Frequency (GHz)]]&lt;20,Plot_Data_Power!F76,#N/A)</f>
        <v>#N/A</v>
      </c>
      <c r="M76" s="1" t="e">
        <f>IF(AND(Table1[[#This Row],[Frequency (GHz)]]&gt;=20,Table1[[#This Row],[Frequency (GHz)]]&lt;50),Plot_Data_Power!F76,#N/A)</f>
        <v>#N/A</v>
      </c>
      <c r="N76" s="1" t="e">
        <f>IF(AND(Table1[[#This Row],[Frequency (GHz)]]&gt;=50,Table1[[#This Row],[Frequency (GHz)]]&lt;75),Plot_Data_Power!F76,#N/A)</f>
        <v>#N/A</v>
      </c>
      <c r="O76" s="1" t="e">
        <f>IF(AND(Table1[[#This Row],[Frequency (GHz)]]&gt;=75,Table1[[#This Row],[Frequency (GHz)]]&lt;110),Plot_Data_Power!F76,#N/A)</f>
        <v>#N/A</v>
      </c>
      <c r="P76" s="1" t="e">
        <f>IF(AND(Table1[[#This Row],[Frequency (GHz)]]&gt;=110,Table1[[#This Row],[Frequency (GHz)]]&lt;170),Plot_Data_Power!F76,#N/A)</f>
        <v>#N/A</v>
      </c>
      <c r="Q76" s="1" t="e">
        <f>IF(AND(Table1[[#This Row],[Frequency (GHz)]]&gt;=170,Table1[[#This Row],[Frequency (GHz)]]&lt;260),Plot_Data_Power!F76,#N/A)</f>
        <v>#N/A</v>
      </c>
      <c r="R76" s="1" t="e">
        <f>IF(Table1[[#This Row],[Frequency (GHz)]]&gt;=260,Plot_Data_Power!F76,#N/A)</f>
        <v>#N/A</v>
      </c>
      <c r="U76" s="1" t="e">
        <f>IF(Table1[[#This Row],[Frequency (GHz)]]&lt;20,Plot_Data_Power!G76,#N/A)</f>
        <v>#N/A</v>
      </c>
      <c r="V76" s="1" t="e">
        <f>IF(AND(Table1[[#This Row],[Frequency (GHz)]]&gt;=20,Table1[[#This Row],[Frequency (GHz)]]&lt;50),Plot_Data_Power!G76,#N/A)</f>
        <v>#N/A</v>
      </c>
      <c r="W76" s="1" t="e">
        <f>IF(AND(Table1[[#This Row],[Frequency (GHz)]]&gt;=50,Table1[[#This Row],[Frequency (GHz)]]&lt;75),Plot_Data_Power!G76,#N/A)</f>
        <v>#N/A</v>
      </c>
      <c r="X76" s="1" t="e">
        <f>IF(AND(Table1[[#This Row],[Frequency (GHz)]]&gt;=75,Table1[[#This Row],[Frequency (GHz)]]&lt;110),Plot_Data_Power!G76,#N/A)</f>
        <v>#N/A</v>
      </c>
      <c r="Y76" s="1" t="e">
        <f>IF(AND(Table1[[#This Row],[Frequency (GHz)]]&gt;=110,Table1[[#This Row],[Frequency (GHz)]]&lt;170),Plot_Data_Power!G76,#N/A)</f>
        <v>#N/A</v>
      </c>
      <c r="Z76" s="1" t="e">
        <f>IF(AND(Table1[[#This Row],[Frequency (GHz)]]&gt;=170,Table1[[#This Row],[Frequency (GHz)]]&lt;260),Plot_Data_Power!G76,#N/A)</f>
        <v>#N/A</v>
      </c>
      <c r="AA76" s="1" t="e">
        <f>IF(Table1[[#This Row],[Frequency (GHz)]]&gt;=260,Plot_Data_Power!G76,#N/A)</f>
        <v>#N/A</v>
      </c>
      <c r="AD76" s="1">
        <f>IF(ISNUMBER(Table1[[#This Row],[Max Package Thermal Density (W/cm2)]]),Table1[[#This Row],[Max Package Thermal Density (W/cm2)]],#N/A)</f>
        <v>10.772265210135034</v>
      </c>
      <c r="AE76" s="1">
        <f>IF(AND(ISNUMBER((Table1[[#This Row],[Max Package Thermal Density (W/cm2)]])),Table1[[#This Row],[Frequency (GHz)]]&lt;20),Table1[[#This Row],[Max Package Thermal Density (W/cm2)]],#N/A)</f>
        <v>10.772265210135034</v>
      </c>
      <c r="AF76" s="1" t="e">
        <f>IF(AND(ISNUMBER(Table1[[#This Row],[Max Package Thermal Density (W/cm2)]]),Table1[[#This Row],[Frequency (GHz)]]&gt;=20,Table1[[#This Row],[Frequency (GHz)]]&lt;50),Table1[[#This Row],[Max Package Thermal Density (W/cm2)]],#N/A)</f>
        <v>#N/A</v>
      </c>
      <c r="AG76" s="1" t="e">
        <f>IF(AND(ISNUMBER(Table1[[#This Row],[Max Package Thermal Density (W/cm2)]]),Table1[[#This Row],[Frequency (GHz)]]&gt;=50,Table1[[#This Row],[Frequency (GHz)]]&lt;75),Table1[[#This Row],[Max Package Thermal Density (W/cm2)]],#N/A)</f>
        <v>#N/A</v>
      </c>
      <c r="AH76" s="1" t="e">
        <f>IF(AND(ISNUMBER(Table1[[#This Row],[Max Package Thermal Density (W/cm2)]]),Table1[[#This Row],[Frequency (GHz)]]&gt;=75,Table1[[#This Row],[Frequency (GHz)]]&lt;110),Table1[[#This Row],[Max Package Thermal Density (W/cm2)]],#N/A)</f>
        <v>#N/A</v>
      </c>
      <c r="AI76" s="1" t="e">
        <f>IF(AND(ISNUMBER(Table1[[#This Row],[Max Package Thermal Density (W/cm2)]]),Table1[[#This Row],[Frequency (GHz)]]&gt;=110,Table1[[#This Row],[Frequency (GHz)]]&lt;170),Table1[[#This Row],[Max Package Thermal Density (W/cm2)]],#N/A)</f>
        <v>#N/A</v>
      </c>
      <c r="AJ76" s="1" t="e">
        <f>IF(AND(ISNUMBER(Table1[[#This Row],[Max Package Thermal Density (W/cm2)]]),Table1[[#This Row],[Frequency (GHz)]]&gt;=170,Table1[[#This Row],[Frequency (GHz)]]&lt;260),Table1[[#This Row],[Max Package Thermal Density (W/cm2)]],#N/A)</f>
        <v>#N/A</v>
      </c>
      <c r="AK76" s="1" t="e">
        <f>IF(AND(ISNUMBER(Table1[[#This Row],[Max Package Thermal Density (W/cm2)]]),Table1[[#This Row],[Frequency (GHz)]]&gt;=260),Table1[[#This Row],[Max Package Thermal Density (W/cm2)]],#N/A)</f>
        <v>#N/A</v>
      </c>
      <c r="AN76" s="1" t="e">
        <f>IF(ISNUMBER(Table1[[#This Row],[Max Chip Thermal Density (W/cm2)]]),Table1[[#This Row],[Max Chip Thermal Density (W/cm2)]],#N/A)</f>
        <v>#N/A</v>
      </c>
      <c r="AO76" s="1" t="e">
        <f>IF(AND(ISNUMBER((Table1[[#This Row],[Max Chip Thermal Density (W/cm2)]])),Table1[[#This Row],[Frequency (GHz)]]&lt;20),Table1[[#This Row],[Max Chip Thermal Density (W/cm2)]],#N/A)</f>
        <v>#N/A</v>
      </c>
      <c r="AP76" s="1" t="e">
        <f>IF(AND(ISNUMBER(Table1[[#This Row],[Max Chip Thermal Density (W/cm2)]]),Table1[[#This Row],[Frequency (GHz)]]&gt;=20,Table1[[#This Row],[Frequency (GHz)]]&lt;50),Table1[[#This Row],[Max Chip Thermal Density (W/cm2)]],#N/A)</f>
        <v>#N/A</v>
      </c>
      <c r="AQ76" s="1" t="e">
        <f>IF(AND(ISNUMBER(Table1[[#This Row],[Max Chip Thermal Density (W/cm2)]]),Table1[[#This Row],[Frequency (GHz)]]&gt;=50,Table1[[#This Row],[Frequency (GHz)]]&lt;75),Table1[[#This Row],[Max Chip Thermal Density (W/cm2)]],#N/A)</f>
        <v>#N/A</v>
      </c>
      <c r="AR76" s="1" t="e">
        <f>IF(AND(ISNUMBER(Table1[[#This Row],[Max Chip Thermal Density (W/cm2)]]),Table1[[#This Row],[Frequency (GHz)]]&gt;=75,Table1[[#This Row],[Frequency (GHz)]]&lt;110),Table1[[#This Row],[Max Chip Thermal Density (W/cm2)]],#N/A)</f>
        <v>#N/A</v>
      </c>
      <c r="AS76" s="1" t="e">
        <f>IF(AND(ISNUMBER(Table1[[#This Row],[Max Chip Thermal Density (W/cm2)]]),Table1[[#This Row],[Frequency (GHz)]]&gt;=110,Table1[[#This Row],[Frequency (GHz)]]&lt;170),Table1[[#This Row],[Max Chip Thermal Density (W/cm2)]],#N/A)</f>
        <v>#N/A</v>
      </c>
      <c r="AT76" s="1" t="e">
        <f>IF(AND(ISNUMBER(Table1[[#This Row],[Max Chip Thermal Density (W/cm2)]]),Table1[[#This Row],[Frequency (GHz)]]&gt;=170,Table1[[#This Row],[Frequency (GHz)]]&lt;260),Table1[[#This Row],[Max Chip Thermal Density (W/cm2)]],#N/A)</f>
        <v>#N/A</v>
      </c>
      <c r="AU76" s="1" t="e">
        <f>IF(AND(ISNUMBER(Table1[[#This Row],[Max Chip Thermal Density (W/cm2)]]),Table1[[#This Row],[Frequency (GHz)]]&gt;=260),Table1[[#This Row],[Max Chip Thermal Density (W/cm2)]],#N/A)</f>
        <v>#N/A</v>
      </c>
    </row>
    <row r="77" spans="1:47" x14ac:dyDescent="0.2">
      <c r="A77" s="25" t="e">
        <f>IF(ISNUMBER(Table1[[#This Row],[Total Pout/Prad (dBm)]]),Table1[[#This Row],[Total Pout/Prad (dBm)]],#N/A)</f>
        <v>#N/A</v>
      </c>
      <c r="B77" s="1" t="e">
        <f>IF(ISNUMBER(Table1[[#This Row],[Total Pout/Prad (dBm)]]),Table1[[#This Row],[Total '# of TX Elements]],#N/A)</f>
        <v>#N/A</v>
      </c>
      <c r="C77" s="1" t="e">
        <f>IF(ISNUMBER(Table1[[#This Row],[TX EIRP (dBm)]]),Table1[[#This Row],[TX EIRP (dBm)]],#N/A)</f>
        <v>#N/A</v>
      </c>
      <c r="D77" s="1" t="str">
        <f>Table1[[#This Row],[TX Pdc (W)]]</f>
        <v>N/A</v>
      </c>
      <c r="E77"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77" s="1" t="e">
        <f t="shared" si="2"/>
        <v>#N/A</v>
      </c>
      <c r="G77" s="1" t="e">
        <f t="shared" si="3"/>
        <v>#N/A</v>
      </c>
      <c r="L77" s="1" t="e">
        <f>IF(Table1[[#This Row],[Frequency (GHz)]]&lt;20,Plot_Data_Power!F77,#N/A)</f>
        <v>#N/A</v>
      </c>
      <c r="M77" s="1" t="e">
        <f>IF(AND(Table1[[#This Row],[Frequency (GHz)]]&gt;=20,Table1[[#This Row],[Frequency (GHz)]]&lt;50),Plot_Data_Power!F77,#N/A)</f>
        <v>#N/A</v>
      </c>
      <c r="N77" s="1" t="e">
        <f>IF(AND(Table1[[#This Row],[Frequency (GHz)]]&gt;=50,Table1[[#This Row],[Frequency (GHz)]]&lt;75),Plot_Data_Power!F77,#N/A)</f>
        <v>#N/A</v>
      </c>
      <c r="O77" s="1" t="e">
        <f>IF(AND(Table1[[#This Row],[Frequency (GHz)]]&gt;=75,Table1[[#This Row],[Frequency (GHz)]]&lt;110),Plot_Data_Power!F77,#N/A)</f>
        <v>#N/A</v>
      </c>
      <c r="P77" s="1" t="e">
        <f>IF(AND(Table1[[#This Row],[Frequency (GHz)]]&gt;=110,Table1[[#This Row],[Frequency (GHz)]]&lt;170),Plot_Data_Power!F77,#N/A)</f>
        <v>#N/A</v>
      </c>
      <c r="Q77" s="1" t="e">
        <f>IF(AND(Table1[[#This Row],[Frequency (GHz)]]&gt;=170,Table1[[#This Row],[Frequency (GHz)]]&lt;260),Plot_Data_Power!F77,#N/A)</f>
        <v>#N/A</v>
      </c>
      <c r="R77" s="1" t="e">
        <f>IF(Table1[[#This Row],[Frequency (GHz)]]&gt;=260,Plot_Data_Power!F77,#N/A)</f>
        <v>#N/A</v>
      </c>
      <c r="U77" s="1" t="e">
        <f>IF(Table1[[#This Row],[Frequency (GHz)]]&lt;20,Plot_Data_Power!G77,#N/A)</f>
        <v>#N/A</v>
      </c>
      <c r="V77" s="1" t="e">
        <f>IF(AND(Table1[[#This Row],[Frequency (GHz)]]&gt;=20,Table1[[#This Row],[Frequency (GHz)]]&lt;50),Plot_Data_Power!G77,#N/A)</f>
        <v>#N/A</v>
      </c>
      <c r="W77" s="1" t="e">
        <f>IF(AND(Table1[[#This Row],[Frequency (GHz)]]&gt;=50,Table1[[#This Row],[Frequency (GHz)]]&lt;75),Plot_Data_Power!G77,#N/A)</f>
        <v>#N/A</v>
      </c>
      <c r="X77" s="1" t="e">
        <f>IF(AND(Table1[[#This Row],[Frequency (GHz)]]&gt;=75,Table1[[#This Row],[Frequency (GHz)]]&lt;110),Plot_Data_Power!G77,#N/A)</f>
        <v>#N/A</v>
      </c>
      <c r="Y77" s="1" t="e">
        <f>IF(AND(Table1[[#This Row],[Frequency (GHz)]]&gt;=110,Table1[[#This Row],[Frequency (GHz)]]&lt;170),Plot_Data_Power!G77,#N/A)</f>
        <v>#N/A</v>
      </c>
      <c r="Z77" s="1" t="e">
        <f>IF(AND(Table1[[#This Row],[Frequency (GHz)]]&gt;=170,Table1[[#This Row],[Frequency (GHz)]]&lt;260),Plot_Data_Power!G77,#N/A)</f>
        <v>#N/A</v>
      </c>
      <c r="AA77" s="1" t="e">
        <f>IF(Table1[[#This Row],[Frequency (GHz)]]&gt;=260,Plot_Data_Power!G77,#N/A)</f>
        <v>#N/A</v>
      </c>
      <c r="AD77" s="1" t="e">
        <f>IF(ISNUMBER(Table1[[#This Row],[Max Package Thermal Density (W/cm2)]]),Table1[[#This Row],[Max Package Thermal Density (W/cm2)]],#N/A)</f>
        <v>#N/A</v>
      </c>
      <c r="AE77" s="1" t="e">
        <f>IF(AND(ISNUMBER((Table1[[#This Row],[Max Package Thermal Density (W/cm2)]])),Table1[[#This Row],[Frequency (GHz)]]&lt;20),Table1[[#This Row],[Max Package Thermal Density (W/cm2)]],#N/A)</f>
        <v>#N/A</v>
      </c>
      <c r="AF77" s="1" t="e">
        <f>IF(AND(ISNUMBER(Table1[[#This Row],[Max Package Thermal Density (W/cm2)]]),Table1[[#This Row],[Frequency (GHz)]]&gt;=20,Table1[[#This Row],[Frequency (GHz)]]&lt;50),Table1[[#This Row],[Max Package Thermal Density (W/cm2)]],#N/A)</f>
        <v>#N/A</v>
      </c>
      <c r="AG77" s="1" t="e">
        <f>IF(AND(ISNUMBER(Table1[[#This Row],[Max Package Thermal Density (W/cm2)]]),Table1[[#This Row],[Frequency (GHz)]]&gt;=50,Table1[[#This Row],[Frequency (GHz)]]&lt;75),Table1[[#This Row],[Max Package Thermal Density (W/cm2)]],#N/A)</f>
        <v>#N/A</v>
      </c>
      <c r="AH77" s="1" t="e">
        <f>IF(AND(ISNUMBER(Table1[[#This Row],[Max Package Thermal Density (W/cm2)]]),Table1[[#This Row],[Frequency (GHz)]]&gt;=75,Table1[[#This Row],[Frequency (GHz)]]&lt;110),Table1[[#This Row],[Max Package Thermal Density (W/cm2)]],#N/A)</f>
        <v>#N/A</v>
      </c>
      <c r="AI77" s="1" t="e">
        <f>IF(AND(ISNUMBER(Table1[[#This Row],[Max Package Thermal Density (W/cm2)]]),Table1[[#This Row],[Frequency (GHz)]]&gt;=110,Table1[[#This Row],[Frequency (GHz)]]&lt;170),Table1[[#This Row],[Max Package Thermal Density (W/cm2)]],#N/A)</f>
        <v>#N/A</v>
      </c>
      <c r="AJ77" s="1" t="e">
        <f>IF(AND(ISNUMBER(Table1[[#This Row],[Max Package Thermal Density (W/cm2)]]),Table1[[#This Row],[Frequency (GHz)]]&gt;=170,Table1[[#This Row],[Frequency (GHz)]]&lt;260),Table1[[#This Row],[Max Package Thermal Density (W/cm2)]],#N/A)</f>
        <v>#N/A</v>
      </c>
      <c r="AK77" s="1" t="e">
        <f>IF(AND(ISNUMBER(Table1[[#This Row],[Max Package Thermal Density (W/cm2)]]),Table1[[#This Row],[Frequency (GHz)]]&gt;=260),Table1[[#This Row],[Max Package Thermal Density (W/cm2)]],#N/A)</f>
        <v>#N/A</v>
      </c>
      <c r="AN77" s="1">
        <f>IF(ISNUMBER(Table1[[#This Row],[Max Chip Thermal Density (W/cm2)]]),Table1[[#This Row],[Max Chip Thermal Density (W/cm2)]],#N/A)</f>
        <v>4.6567643516659967</v>
      </c>
      <c r="AO77" s="1" t="e">
        <f>IF(AND(ISNUMBER((Table1[[#This Row],[Max Chip Thermal Density (W/cm2)]])),Table1[[#This Row],[Frequency (GHz)]]&lt;20),Table1[[#This Row],[Max Chip Thermal Density (W/cm2)]],#N/A)</f>
        <v>#N/A</v>
      </c>
      <c r="AP77" s="1" t="e">
        <f>IF(AND(ISNUMBER(Table1[[#This Row],[Max Chip Thermal Density (W/cm2)]]),Table1[[#This Row],[Frequency (GHz)]]&gt;=20,Table1[[#This Row],[Frequency (GHz)]]&lt;50),Table1[[#This Row],[Max Chip Thermal Density (W/cm2)]],#N/A)</f>
        <v>#N/A</v>
      </c>
      <c r="AQ77" s="1" t="e">
        <f>IF(AND(ISNUMBER(Table1[[#This Row],[Max Chip Thermal Density (W/cm2)]]),Table1[[#This Row],[Frequency (GHz)]]&gt;=50,Table1[[#This Row],[Frequency (GHz)]]&lt;75),Table1[[#This Row],[Max Chip Thermal Density (W/cm2)]],#N/A)</f>
        <v>#N/A</v>
      </c>
      <c r="AR77" s="1" t="e">
        <f>IF(AND(ISNUMBER(Table1[[#This Row],[Max Chip Thermal Density (W/cm2)]]),Table1[[#This Row],[Frequency (GHz)]]&gt;=75,Table1[[#This Row],[Frequency (GHz)]]&lt;110),Table1[[#This Row],[Max Chip Thermal Density (W/cm2)]],#N/A)</f>
        <v>#N/A</v>
      </c>
      <c r="AS77" s="1">
        <f>IF(AND(ISNUMBER(Table1[[#This Row],[Max Chip Thermal Density (W/cm2)]]),Table1[[#This Row],[Frequency (GHz)]]&gt;=110,Table1[[#This Row],[Frequency (GHz)]]&lt;170),Table1[[#This Row],[Max Chip Thermal Density (W/cm2)]],#N/A)</f>
        <v>4.6567643516659967</v>
      </c>
      <c r="AT77" s="1" t="e">
        <f>IF(AND(ISNUMBER(Table1[[#This Row],[Max Chip Thermal Density (W/cm2)]]),Table1[[#This Row],[Frequency (GHz)]]&gt;=170,Table1[[#This Row],[Frequency (GHz)]]&lt;260),Table1[[#This Row],[Max Chip Thermal Density (W/cm2)]],#N/A)</f>
        <v>#N/A</v>
      </c>
      <c r="AU77" s="1" t="e">
        <f>IF(AND(ISNUMBER(Table1[[#This Row],[Max Chip Thermal Density (W/cm2)]]),Table1[[#This Row],[Frequency (GHz)]]&gt;=260),Table1[[#This Row],[Max Chip Thermal Density (W/cm2)]],#N/A)</f>
        <v>#N/A</v>
      </c>
    </row>
    <row r="78" spans="1:47" x14ac:dyDescent="0.2">
      <c r="A78" s="25" t="e">
        <f>IF(ISNUMBER(Table1[[#This Row],[Total Pout/Prad (dBm)]]),Table1[[#This Row],[Total Pout/Prad (dBm)]],#N/A)</f>
        <v>#N/A</v>
      </c>
      <c r="B78" s="1" t="e">
        <f>IF(ISNUMBER(Table1[[#This Row],[Total Pout/Prad (dBm)]]),Table1[[#This Row],[Total '# of TX Elements]],#N/A)</f>
        <v>#N/A</v>
      </c>
      <c r="C78" s="1">
        <f>IF(ISNUMBER(Table1[[#This Row],[TX EIRP (dBm)]]),Table1[[#This Row],[TX EIRP (dBm)]],#N/A)</f>
        <v>74</v>
      </c>
      <c r="D78" s="1">
        <f>Table1[[#This Row],[TX Pdc (W)]]</f>
        <v>328</v>
      </c>
      <c r="E78" s="1">
        <f>IF(ISNUMBER(Table1[[#This Row],[Array Aperture Size (cm2)]]),Table1[[#This Row],[Array Aperture Size (cm2)]],IF(Table1[[#This Row],[Antenna on (None, Chip, AiP, PCB)]]="Chip",Table1[[#This Row],[Chip Core Size - X (mm)]]*Table1[[#This Row],[Chip Core Size -Y (mm)]]/100*Table1[[#This Row],['# of IC per Tile]]*Table1[[#This Row],['# of Array Tile]],#N/A))</f>
        <v>9.5947999999999993</v>
      </c>
      <c r="F78" s="1" t="e">
        <f t="shared" si="2"/>
        <v>#N/A</v>
      </c>
      <c r="G78" s="1">
        <f t="shared" si="3"/>
        <v>7658.1903399682615</v>
      </c>
      <c r="L78" s="1" t="e">
        <f>IF(Table1[[#This Row],[Frequency (GHz)]]&lt;20,Plot_Data_Power!F78,#N/A)</f>
        <v>#N/A</v>
      </c>
      <c r="M78" s="1" t="e">
        <f>IF(AND(Table1[[#This Row],[Frequency (GHz)]]&gt;=20,Table1[[#This Row],[Frequency (GHz)]]&lt;50),Plot_Data_Power!F78,#N/A)</f>
        <v>#N/A</v>
      </c>
      <c r="N78" s="1" t="e">
        <f>IF(AND(Table1[[#This Row],[Frequency (GHz)]]&gt;=50,Table1[[#This Row],[Frequency (GHz)]]&lt;75),Plot_Data_Power!F78,#N/A)</f>
        <v>#N/A</v>
      </c>
      <c r="O78" s="1" t="e">
        <f>IF(AND(Table1[[#This Row],[Frequency (GHz)]]&gt;=75,Table1[[#This Row],[Frequency (GHz)]]&lt;110),Plot_Data_Power!F78,#N/A)</f>
        <v>#N/A</v>
      </c>
      <c r="P78" s="1" t="e">
        <f>IF(AND(Table1[[#This Row],[Frequency (GHz)]]&gt;=110,Table1[[#This Row],[Frequency (GHz)]]&lt;170),Plot_Data_Power!F78,#N/A)</f>
        <v>#N/A</v>
      </c>
      <c r="Q78" s="1" t="e">
        <f>IF(AND(Table1[[#This Row],[Frequency (GHz)]]&gt;=170,Table1[[#This Row],[Frequency (GHz)]]&lt;260),Plot_Data_Power!F78,#N/A)</f>
        <v>#N/A</v>
      </c>
      <c r="R78" s="1" t="e">
        <f>IF(Table1[[#This Row],[Frequency (GHz)]]&gt;=260,Plot_Data_Power!F78,#N/A)</f>
        <v>#N/A</v>
      </c>
      <c r="U78" s="1">
        <f>IF(Table1[[#This Row],[Frequency (GHz)]]&lt;20,Plot_Data_Power!G78,#N/A)</f>
        <v>7658.1903399682615</v>
      </c>
      <c r="V78" s="1" t="e">
        <f>IF(AND(Table1[[#This Row],[Frequency (GHz)]]&gt;=20,Table1[[#This Row],[Frequency (GHz)]]&lt;50),Plot_Data_Power!G78,#N/A)</f>
        <v>#N/A</v>
      </c>
      <c r="W78" s="1" t="e">
        <f>IF(AND(Table1[[#This Row],[Frequency (GHz)]]&gt;=50,Table1[[#This Row],[Frequency (GHz)]]&lt;75),Plot_Data_Power!G78,#N/A)</f>
        <v>#N/A</v>
      </c>
      <c r="X78" s="1" t="e">
        <f>IF(AND(Table1[[#This Row],[Frequency (GHz)]]&gt;=75,Table1[[#This Row],[Frequency (GHz)]]&lt;110),Plot_Data_Power!G78,#N/A)</f>
        <v>#N/A</v>
      </c>
      <c r="Y78" s="1" t="e">
        <f>IF(AND(Table1[[#This Row],[Frequency (GHz)]]&gt;=110,Table1[[#This Row],[Frequency (GHz)]]&lt;170),Plot_Data_Power!G78,#N/A)</f>
        <v>#N/A</v>
      </c>
      <c r="Z78" s="1" t="e">
        <f>IF(AND(Table1[[#This Row],[Frequency (GHz)]]&gt;=170,Table1[[#This Row],[Frequency (GHz)]]&lt;260),Plot_Data_Power!G78,#N/A)</f>
        <v>#N/A</v>
      </c>
      <c r="AA78" s="1" t="e">
        <f>IF(Table1[[#This Row],[Frequency (GHz)]]&gt;=260,Plot_Data_Power!G78,#N/A)</f>
        <v>#N/A</v>
      </c>
      <c r="AD78" s="1">
        <f>IF(ISNUMBER(Table1[[#This Row],[Max Package Thermal Density (W/cm2)]]),Table1[[#This Row],[Max Package Thermal Density (W/cm2)]],#N/A)</f>
        <v>34.185183641138956</v>
      </c>
      <c r="AE78" s="1">
        <f>IF(AND(ISNUMBER((Table1[[#This Row],[Max Package Thermal Density (W/cm2)]])),Table1[[#This Row],[Frequency (GHz)]]&lt;20),Table1[[#This Row],[Max Package Thermal Density (W/cm2)]],#N/A)</f>
        <v>34.185183641138956</v>
      </c>
      <c r="AF78" s="1" t="e">
        <f>IF(AND(ISNUMBER(Table1[[#This Row],[Max Package Thermal Density (W/cm2)]]),Table1[[#This Row],[Frequency (GHz)]]&gt;=20,Table1[[#This Row],[Frequency (GHz)]]&lt;50),Table1[[#This Row],[Max Package Thermal Density (W/cm2)]],#N/A)</f>
        <v>#N/A</v>
      </c>
      <c r="AG78" s="1" t="e">
        <f>IF(AND(ISNUMBER(Table1[[#This Row],[Max Package Thermal Density (W/cm2)]]),Table1[[#This Row],[Frequency (GHz)]]&gt;=50,Table1[[#This Row],[Frequency (GHz)]]&lt;75),Table1[[#This Row],[Max Package Thermal Density (W/cm2)]],#N/A)</f>
        <v>#N/A</v>
      </c>
      <c r="AH78" s="1" t="e">
        <f>IF(AND(ISNUMBER(Table1[[#This Row],[Max Package Thermal Density (W/cm2)]]),Table1[[#This Row],[Frequency (GHz)]]&gt;=75,Table1[[#This Row],[Frequency (GHz)]]&lt;110),Table1[[#This Row],[Max Package Thermal Density (W/cm2)]],#N/A)</f>
        <v>#N/A</v>
      </c>
      <c r="AI78" s="1" t="e">
        <f>IF(AND(ISNUMBER(Table1[[#This Row],[Max Package Thermal Density (W/cm2)]]),Table1[[#This Row],[Frequency (GHz)]]&gt;=110,Table1[[#This Row],[Frequency (GHz)]]&lt;170),Table1[[#This Row],[Max Package Thermal Density (W/cm2)]],#N/A)</f>
        <v>#N/A</v>
      </c>
      <c r="AJ78" s="1" t="e">
        <f>IF(AND(ISNUMBER(Table1[[#This Row],[Max Package Thermal Density (W/cm2)]]),Table1[[#This Row],[Frequency (GHz)]]&gt;=170,Table1[[#This Row],[Frequency (GHz)]]&lt;260),Table1[[#This Row],[Max Package Thermal Density (W/cm2)]],#N/A)</f>
        <v>#N/A</v>
      </c>
      <c r="AK78" s="1" t="e">
        <f>IF(AND(ISNUMBER(Table1[[#This Row],[Max Package Thermal Density (W/cm2)]]),Table1[[#This Row],[Frequency (GHz)]]&gt;=260),Table1[[#This Row],[Max Package Thermal Density (W/cm2)]],#N/A)</f>
        <v>#N/A</v>
      </c>
      <c r="AN78" s="1" t="e">
        <f>IF(ISNUMBER(Table1[[#This Row],[Max Chip Thermal Density (W/cm2)]]),Table1[[#This Row],[Max Chip Thermal Density (W/cm2)]],#N/A)</f>
        <v>#N/A</v>
      </c>
      <c r="AO78" s="1" t="e">
        <f>IF(AND(ISNUMBER((Table1[[#This Row],[Max Chip Thermal Density (W/cm2)]])),Table1[[#This Row],[Frequency (GHz)]]&lt;20),Table1[[#This Row],[Max Chip Thermal Density (W/cm2)]],#N/A)</f>
        <v>#N/A</v>
      </c>
      <c r="AP78" s="1" t="e">
        <f>IF(AND(ISNUMBER(Table1[[#This Row],[Max Chip Thermal Density (W/cm2)]]),Table1[[#This Row],[Frequency (GHz)]]&gt;=20,Table1[[#This Row],[Frequency (GHz)]]&lt;50),Table1[[#This Row],[Max Chip Thermal Density (W/cm2)]],#N/A)</f>
        <v>#N/A</v>
      </c>
      <c r="AQ78" s="1" t="e">
        <f>IF(AND(ISNUMBER(Table1[[#This Row],[Max Chip Thermal Density (W/cm2)]]),Table1[[#This Row],[Frequency (GHz)]]&gt;=50,Table1[[#This Row],[Frequency (GHz)]]&lt;75),Table1[[#This Row],[Max Chip Thermal Density (W/cm2)]],#N/A)</f>
        <v>#N/A</v>
      </c>
      <c r="AR78" s="1" t="e">
        <f>IF(AND(ISNUMBER(Table1[[#This Row],[Max Chip Thermal Density (W/cm2)]]),Table1[[#This Row],[Frequency (GHz)]]&gt;=75,Table1[[#This Row],[Frequency (GHz)]]&lt;110),Table1[[#This Row],[Max Chip Thermal Density (W/cm2)]],#N/A)</f>
        <v>#N/A</v>
      </c>
      <c r="AS78" s="1" t="e">
        <f>IF(AND(ISNUMBER(Table1[[#This Row],[Max Chip Thermal Density (W/cm2)]]),Table1[[#This Row],[Frequency (GHz)]]&gt;=110,Table1[[#This Row],[Frequency (GHz)]]&lt;170),Table1[[#This Row],[Max Chip Thermal Density (W/cm2)]],#N/A)</f>
        <v>#N/A</v>
      </c>
      <c r="AT78" s="1" t="e">
        <f>IF(AND(ISNUMBER(Table1[[#This Row],[Max Chip Thermal Density (W/cm2)]]),Table1[[#This Row],[Frequency (GHz)]]&gt;=170,Table1[[#This Row],[Frequency (GHz)]]&lt;260),Table1[[#This Row],[Max Chip Thermal Density (W/cm2)]],#N/A)</f>
        <v>#N/A</v>
      </c>
      <c r="AU78" s="1" t="e">
        <f>IF(AND(ISNUMBER(Table1[[#This Row],[Max Chip Thermal Density (W/cm2)]]),Table1[[#This Row],[Frequency (GHz)]]&gt;=260),Table1[[#This Row],[Max Chip Thermal Density (W/cm2)]],#N/A)</f>
        <v>#N/A</v>
      </c>
    </row>
    <row r="79" spans="1:47" x14ac:dyDescent="0.2">
      <c r="A79" s="25" t="e">
        <f>IF(ISNUMBER(Table1[[#This Row],[Total Pout/Prad (dBm)]]),Table1[[#This Row],[Total Pout/Prad (dBm)]],#N/A)</f>
        <v>#N/A</v>
      </c>
      <c r="B79" s="1" t="e">
        <f>IF(ISNUMBER(Table1[[#This Row],[Total Pout/Prad (dBm)]]),Table1[[#This Row],[Total '# of TX Elements]],#N/A)</f>
        <v>#N/A</v>
      </c>
      <c r="C79" s="1" t="e">
        <f>IF(ISNUMBER(Table1[[#This Row],[TX EIRP (dBm)]]),Table1[[#This Row],[TX EIRP (dBm)]],#N/A)</f>
        <v>#N/A</v>
      </c>
      <c r="D79" s="1" t="str">
        <f>Table1[[#This Row],[TX Pdc (W)]]</f>
        <v>N/A</v>
      </c>
      <c r="E79" s="1">
        <f>IF(ISNUMBER(Table1[[#This Row],[Array Aperture Size (cm2)]]),Table1[[#This Row],[Array Aperture Size (cm2)]],IF(Table1[[#This Row],[Antenna on (None, Chip, AiP, PCB)]]="Chip",Table1[[#This Row],[Chip Core Size - X (mm)]]*Table1[[#This Row],[Chip Core Size -Y (mm)]]/100*Table1[[#This Row],['# of IC per Tile]]*Table1[[#This Row],['# of Array Tile]],#N/A))</f>
        <v>331.5</v>
      </c>
      <c r="F79" s="1" t="e">
        <f t="shared" si="2"/>
        <v>#N/A</v>
      </c>
      <c r="G79" s="1" t="e">
        <f t="shared" si="3"/>
        <v>#N/A</v>
      </c>
      <c r="L79" s="1" t="e">
        <f>IF(Table1[[#This Row],[Frequency (GHz)]]&lt;20,Plot_Data_Power!F79,#N/A)</f>
        <v>#N/A</v>
      </c>
      <c r="M79" s="1" t="e">
        <f>IF(AND(Table1[[#This Row],[Frequency (GHz)]]&gt;=20,Table1[[#This Row],[Frequency (GHz)]]&lt;50),Plot_Data_Power!F79,#N/A)</f>
        <v>#N/A</v>
      </c>
      <c r="N79" s="1" t="e">
        <f>IF(AND(Table1[[#This Row],[Frequency (GHz)]]&gt;=50,Table1[[#This Row],[Frequency (GHz)]]&lt;75),Plot_Data_Power!F79,#N/A)</f>
        <v>#N/A</v>
      </c>
      <c r="O79" s="1" t="e">
        <f>IF(AND(Table1[[#This Row],[Frequency (GHz)]]&gt;=75,Table1[[#This Row],[Frequency (GHz)]]&lt;110),Plot_Data_Power!F79,#N/A)</f>
        <v>#N/A</v>
      </c>
      <c r="P79" s="1" t="e">
        <f>IF(AND(Table1[[#This Row],[Frequency (GHz)]]&gt;=110,Table1[[#This Row],[Frequency (GHz)]]&lt;170),Plot_Data_Power!F79,#N/A)</f>
        <v>#N/A</v>
      </c>
      <c r="Q79" s="1" t="e">
        <f>IF(AND(Table1[[#This Row],[Frequency (GHz)]]&gt;=170,Table1[[#This Row],[Frequency (GHz)]]&lt;260),Plot_Data_Power!F79,#N/A)</f>
        <v>#N/A</v>
      </c>
      <c r="R79" s="1" t="e">
        <f>IF(Table1[[#This Row],[Frequency (GHz)]]&gt;=260,Plot_Data_Power!F79,#N/A)</f>
        <v>#N/A</v>
      </c>
      <c r="U79" s="1" t="e">
        <f>IF(Table1[[#This Row],[Frequency (GHz)]]&lt;20,Plot_Data_Power!G79,#N/A)</f>
        <v>#N/A</v>
      </c>
      <c r="V79" s="1" t="e">
        <f>IF(AND(Table1[[#This Row],[Frequency (GHz)]]&gt;=20,Table1[[#This Row],[Frequency (GHz)]]&lt;50),Plot_Data_Power!G79,#N/A)</f>
        <v>#N/A</v>
      </c>
      <c r="W79" s="1" t="e">
        <f>IF(AND(Table1[[#This Row],[Frequency (GHz)]]&gt;=50,Table1[[#This Row],[Frequency (GHz)]]&lt;75),Plot_Data_Power!G79,#N/A)</f>
        <v>#N/A</v>
      </c>
      <c r="X79" s="1" t="e">
        <f>IF(AND(Table1[[#This Row],[Frequency (GHz)]]&gt;=75,Table1[[#This Row],[Frequency (GHz)]]&lt;110),Plot_Data_Power!G79,#N/A)</f>
        <v>#N/A</v>
      </c>
      <c r="Y79" s="1" t="e">
        <f>IF(AND(Table1[[#This Row],[Frequency (GHz)]]&gt;=110,Table1[[#This Row],[Frequency (GHz)]]&lt;170),Plot_Data_Power!G79,#N/A)</f>
        <v>#N/A</v>
      </c>
      <c r="Z79" s="1" t="e">
        <f>IF(AND(Table1[[#This Row],[Frequency (GHz)]]&gt;=170,Table1[[#This Row],[Frequency (GHz)]]&lt;260),Plot_Data_Power!G79,#N/A)</f>
        <v>#N/A</v>
      </c>
      <c r="AA79" s="1" t="e">
        <f>IF(Table1[[#This Row],[Frequency (GHz)]]&gt;=260,Plot_Data_Power!G79,#N/A)</f>
        <v>#N/A</v>
      </c>
      <c r="AD79" s="1">
        <f>IF(ISNUMBER(Table1[[#This Row],[Max Package Thermal Density (W/cm2)]]),Table1[[#This Row],[Max Package Thermal Density (W/cm2)]],#N/A)</f>
        <v>0.11583710407239818</v>
      </c>
      <c r="AE79" s="1">
        <f>IF(AND(ISNUMBER((Table1[[#This Row],[Max Package Thermal Density (W/cm2)]])),Table1[[#This Row],[Frequency (GHz)]]&lt;20),Table1[[#This Row],[Max Package Thermal Density (W/cm2)]],#N/A)</f>
        <v>0.11583710407239818</v>
      </c>
      <c r="AF79" s="1" t="e">
        <f>IF(AND(ISNUMBER(Table1[[#This Row],[Max Package Thermal Density (W/cm2)]]),Table1[[#This Row],[Frequency (GHz)]]&gt;=20,Table1[[#This Row],[Frequency (GHz)]]&lt;50),Table1[[#This Row],[Max Package Thermal Density (W/cm2)]],#N/A)</f>
        <v>#N/A</v>
      </c>
      <c r="AG79" s="1" t="e">
        <f>IF(AND(ISNUMBER(Table1[[#This Row],[Max Package Thermal Density (W/cm2)]]),Table1[[#This Row],[Frequency (GHz)]]&gt;=50,Table1[[#This Row],[Frequency (GHz)]]&lt;75),Table1[[#This Row],[Max Package Thermal Density (W/cm2)]],#N/A)</f>
        <v>#N/A</v>
      </c>
      <c r="AH79" s="1" t="e">
        <f>IF(AND(ISNUMBER(Table1[[#This Row],[Max Package Thermal Density (W/cm2)]]),Table1[[#This Row],[Frequency (GHz)]]&gt;=75,Table1[[#This Row],[Frequency (GHz)]]&lt;110),Table1[[#This Row],[Max Package Thermal Density (W/cm2)]],#N/A)</f>
        <v>#N/A</v>
      </c>
      <c r="AI79" s="1" t="e">
        <f>IF(AND(ISNUMBER(Table1[[#This Row],[Max Package Thermal Density (W/cm2)]]),Table1[[#This Row],[Frequency (GHz)]]&gt;=110,Table1[[#This Row],[Frequency (GHz)]]&lt;170),Table1[[#This Row],[Max Package Thermal Density (W/cm2)]],#N/A)</f>
        <v>#N/A</v>
      </c>
      <c r="AJ79" s="1" t="e">
        <f>IF(AND(ISNUMBER(Table1[[#This Row],[Max Package Thermal Density (W/cm2)]]),Table1[[#This Row],[Frequency (GHz)]]&gt;=170,Table1[[#This Row],[Frequency (GHz)]]&lt;260),Table1[[#This Row],[Max Package Thermal Density (W/cm2)]],#N/A)</f>
        <v>#N/A</v>
      </c>
      <c r="AK79" s="1" t="e">
        <f>IF(AND(ISNUMBER(Table1[[#This Row],[Max Package Thermal Density (W/cm2)]]),Table1[[#This Row],[Frequency (GHz)]]&gt;=260),Table1[[#This Row],[Max Package Thermal Density (W/cm2)]],#N/A)</f>
        <v>#N/A</v>
      </c>
      <c r="AN79" s="1" t="e">
        <f>IF(ISNUMBER(Table1[[#This Row],[Max Chip Thermal Density (W/cm2)]]),Table1[[#This Row],[Max Chip Thermal Density (W/cm2)]],#N/A)</f>
        <v>#N/A</v>
      </c>
      <c r="AO79" s="1" t="e">
        <f>IF(AND(ISNUMBER((Table1[[#This Row],[Max Chip Thermal Density (W/cm2)]])),Table1[[#This Row],[Frequency (GHz)]]&lt;20),Table1[[#This Row],[Max Chip Thermal Density (W/cm2)]],#N/A)</f>
        <v>#N/A</v>
      </c>
      <c r="AP79" s="1" t="e">
        <f>IF(AND(ISNUMBER(Table1[[#This Row],[Max Chip Thermal Density (W/cm2)]]),Table1[[#This Row],[Frequency (GHz)]]&gt;=20,Table1[[#This Row],[Frequency (GHz)]]&lt;50),Table1[[#This Row],[Max Chip Thermal Density (W/cm2)]],#N/A)</f>
        <v>#N/A</v>
      </c>
      <c r="AQ79" s="1" t="e">
        <f>IF(AND(ISNUMBER(Table1[[#This Row],[Max Chip Thermal Density (W/cm2)]]),Table1[[#This Row],[Frequency (GHz)]]&gt;=50,Table1[[#This Row],[Frequency (GHz)]]&lt;75),Table1[[#This Row],[Max Chip Thermal Density (W/cm2)]],#N/A)</f>
        <v>#N/A</v>
      </c>
      <c r="AR79" s="1" t="e">
        <f>IF(AND(ISNUMBER(Table1[[#This Row],[Max Chip Thermal Density (W/cm2)]]),Table1[[#This Row],[Frequency (GHz)]]&gt;=75,Table1[[#This Row],[Frequency (GHz)]]&lt;110),Table1[[#This Row],[Max Chip Thermal Density (W/cm2)]],#N/A)</f>
        <v>#N/A</v>
      </c>
      <c r="AS79" s="1" t="e">
        <f>IF(AND(ISNUMBER(Table1[[#This Row],[Max Chip Thermal Density (W/cm2)]]),Table1[[#This Row],[Frequency (GHz)]]&gt;=110,Table1[[#This Row],[Frequency (GHz)]]&lt;170),Table1[[#This Row],[Max Chip Thermal Density (W/cm2)]],#N/A)</f>
        <v>#N/A</v>
      </c>
      <c r="AT79" s="1" t="e">
        <f>IF(AND(ISNUMBER(Table1[[#This Row],[Max Chip Thermal Density (W/cm2)]]),Table1[[#This Row],[Frequency (GHz)]]&gt;=170,Table1[[#This Row],[Frequency (GHz)]]&lt;260),Table1[[#This Row],[Max Chip Thermal Density (W/cm2)]],#N/A)</f>
        <v>#N/A</v>
      </c>
      <c r="AU79" s="1" t="e">
        <f>IF(AND(ISNUMBER(Table1[[#This Row],[Max Chip Thermal Density (W/cm2)]]),Table1[[#This Row],[Frequency (GHz)]]&gt;=260),Table1[[#This Row],[Max Chip Thermal Density (W/cm2)]],#N/A)</f>
        <v>#N/A</v>
      </c>
    </row>
    <row r="80" spans="1:47" x14ac:dyDescent="0.2">
      <c r="A80" s="25">
        <f>IF(ISNUMBER(Table1[[#This Row],[Total Pout/Prad (dBm)]]),Table1[[#This Row],[Total Pout/Prad (dBm)]],#N/A)</f>
        <v>-3.2</v>
      </c>
      <c r="B80" s="1">
        <f>IF(ISNUMBER(Table1[[#This Row],[Total Pout/Prad (dBm)]]),Table1[[#This Row],[Total '# of TX Elements]],#N/A)</f>
        <v>16</v>
      </c>
      <c r="C80" s="1">
        <f>IF(ISNUMBER(Table1[[#This Row],[TX EIRP (dBm)]]),Table1[[#This Row],[TX EIRP (dBm)]],#N/A)</f>
        <v>28.2</v>
      </c>
      <c r="D80" s="1">
        <f>Table1[[#This Row],[TX Pdc (W)]]</f>
        <v>0.34699999999999998</v>
      </c>
      <c r="E80" s="1">
        <f>IF(ISNUMBER(Table1[[#This Row],[Array Aperture Size (cm2)]]),Table1[[#This Row],[Array Aperture Size (cm2)]],IF(Table1[[#This Row],[Antenna on (None, Chip, AiP, PCB)]]="Chip",Table1[[#This Row],[Chip Core Size - X (mm)]]*Table1[[#This Row],[Chip Core Size -Y (mm)]]/100*Table1[[#This Row],['# of IC per Tile]]*Table1[[#This Row],['# of Array Tile]],#N/A))</f>
        <v>5.4880000000000007E-3</v>
      </c>
      <c r="F80" s="1">
        <f t="shared" si="2"/>
        <v>0.13793374418519838</v>
      </c>
      <c r="G80" s="1">
        <f t="shared" si="3"/>
        <v>190.40157003100765</v>
      </c>
      <c r="L80" s="1" t="e">
        <f>IF(Table1[[#This Row],[Frequency (GHz)]]&lt;20,Plot_Data_Power!F80,#N/A)</f>
        <v>#N/A</v>
      </c>
      <c r="M80" s="1" t="e">
        <f>IF(AND(Table1[[#This Row],[Frequency (GHz)]]&gt;=20,Table1[[#This Row],[Frequency (GHz)]]&lt;50),Plot_Data_Power!F80,#N/A)</f>
        <v>#N/A</v>
      </c>
      <c r="N80" s="1" t="e">
        <f>IF(AND(Table1[[#This Row],[Frequency (GHz)]]&gt;=50,Table1[[#This Row],[Frequency (GHz)]]&lt;75),Plot_Data_Power!F80,#N/A)</f>
        <v>#N/A</v>
      </c>
      <c r="O80" s="1" t="e">
        <f>IF(AND(Table1[[#This Row],[Frequency (GHz)]]&gt;=75,Table1[[#This Row],[Frequency (GHz)]]&lt;110),Plot_Data_Power!F80,#N/A)</f>
        <v>#N/A</v>
      </c>
      <c r="P80" s="1" t="e">
        <f>IF(AND(Table1[[#This Row],[Frequency (GHz)]]&gt;=110,Table1[[#This Row],[Frequency (GHz)]]&lt;170),Plot_Data_Power!F80,#N/A)</f>
        <v>#N/A</v>
      </c>
      <c r="Q80" s="1" t="e">
        <f>IF(AND(Table1[[#This Row],[Frequency (GHz)]]&gt;=170,Table1[[#This Row],[Frequency (GHz)]]&lt;260),Plot_Data_Power!F80,#N/A)</f>
        <v>#N/A</v>
      </c>
      <c r="R80" s="1">
        <f>IF(Table1[[#This Row],[Frequency (GHz)]]&gt;=260,Plot_Data_Power!F80,#N/A)</f>
        <v>0.13793374418519838</v>
      </c>
      <c r="U80" s="1" t="e">
        <f>IF(Table1[[#This Row],[Frequency (GHz)]]&lt;20,Plot_Data_Power!G80,#N/A)</f>
        <v>#N/A</v>
      </c>
      <c r="V80" s="1" t="e">
        <f>IF(AND(Table1[[#This Row],[Frequency (GHz)]]&gt;=20,Table1[[#This Row],[Frequency (GHz)]]&lt;50),Plot_Data_Power!G80,#N/A)</f>
        <v>#N/A</v>
      </c>
      <c r="W80" s="1" t="e">
        <f>IF(AND(Table1[[#This Row],[Frequency (GHz)]]&gt;=50,Table1[[#This Row],[Frequency (GHz)]]&lt;75),Plot_Data_Power!G80,#N/A)</f>
        <v>#N/A</v>
      </c>
      <c r="X80" s="1" t="e">
        <f>IF(AND(Table1[[#This Row],[Frequency (GHz)]]&gt;=75,Table1[[#This Row],[Frequency (GHz)]]&lt;110),Plot_Data_Power!G80,#N/A)</f>
        <v>#N/A</v>
      </c>
      <c r="Y80" s="1" t="e">
        <f>IF(AND(Table1[[#This Row],[Frequency (GHz)]]&gt;=110,Table1[[#This Row],[Frequency (GHz)]]&lt;170),Plot_Data_Power!G80,#N/A)</f>
        <v>#N/A</v>
      </c>
      <c r="Z80" s="1" t="e">
        <f>IF(AND(Table1[[#This Row],[Frequency (GHz)]]&gt;=170,Table1[[#This Row],[Frequency (GHz)]]&lt;260),Plot_Data_Power!G80,#N/A)</f>
        <v>#N/A</v>
      </c>
      <c r="AA80" s="1">
        <f>IF(Table1[[#This Row],[Frequency (GHz)]]&gt;=260,Plot_Data_Power!G80,#N/A)</f>
        <v>190.40157003100765</v>
      </c>
      <c r="AD80" s="1" t="e">
        <f>IF(ISNUMBER(Table1[[#This Row],[Max Package Thermal Density (W/cm2)]]),Table1[[#This Row],[Max Package Thermal Density (W/cm2)]],#N/A)</f>
        <v>#N/A</v>
      </c>
      <c r="AE80" s="1" t="e">
        <f>IF(AND(ISNUMBER((Table1[[#This Row],[Max Package Thermal Density (W/cm2)]])),Table1[[#This Row],[Frequency (GHz)]]&lt;20),Table1[[#This Row],[Max Package Thermal Density (W/cm2)]],#N/A)</f>
        <v>#N/A</v>
      </c>
      <c r="AF80" s="1" t="e">
        <f>IF(AND(ISNUMBER(Table1[[#This Row],[Max Package Thermal Density (W/cm2)]]),Table1[[#This Row],[Frequency (GHz)]]&gt;=20,Table1[[#This Row],[Frequency (GHz)]]&lt;50),Table1[[#This Row],[Max Package Thermal Density (W/cm2)]],#N/A)</f>
        <v>#N/A</v>
      </c>
      <c r="AG80" s="1" t="e">
        <f>IF(AND(ISNUMBER(Table1[[#This Row],[Max Package Thermal Density (W/cm2)]]),Table1[[#This Row],[Frequency (GHz)]]&gt;=50,Table1[[#This Row],[Frequency (GHz)]]&lt;75),Table1[[#This Row],[Max Package Thermal Density (W/cm2)]],#N/A)</f>
        <v>#N/A</v>
      </c>
      <c r="AH80" s="1" t="e">
        <f>IF(AND(ISNUMBER(Table1[[#This Row],[Max Package Thermal Density (W/cm2)]]),Table1[[#This Row],[Frequency (GHz)]]&gt;=75,Table1[[#This Row],[Frequency (GHz)]]&lt;110),Table1[[#This Row],[Max Package Thermal Density (W/cm2)]],#N/A)</f>
        <v>#N/A</v>
      </c>
      <c r="AI80" s="1" t="e">
        <f>IF(AND(ISNUMBER(Table1[[#This Row],[Max Package Thermal Density (W/cm2)]]),Table1[[#This Row],[Frequency (GHz)]]&gt;=110,Table1[[#This Row],[Frequency (GHz)]]&lt;170),Table1[[#This Row],[Max Package Thermal Density (W/cm2)]],#N/A)</f>
        <v>#N/A</v>
      </c>
      <c r="AJ80" s="1" t="e">
        <f>IF(AND(ISNUMBER(Table1[[#This Row],[Max Package Thermal Density (W/cm2)]]),Table1[[#This Row],[Frequency (GHz)]]&gt;=170,Table1[[#This Row],[Frequency (GHz)]]&lt;260),Table1[[#This Row],[Max Package Thermal Density (W/cm2)]],#N/A)</f>
        <v>#N/A</v>
      </c>
      <c r="AK80" s="1" t="e">
        <f>IF(AND(ISNUMBER(Table1[[#This Row],[Max Package Thermal Density (W/cm2)]]),Table1[[#This Row],[Frequency (GHz)]]&gt;=260),Table1[[#This Row],[Max Package Thermal Density (W/cm2)]],#N/A)</f>
        <v>#N/A</v>
      </c>
      <c r="AN80" s="1">
        <f>IF(ISNUMBER(Table1[[#This Row],[Max Chip Thermal Density (W/cm2)]]),Table1[[#This Row],[Max Chip Thermal Density (W/cm2)]],#N/A)</f>
        <v>22.243589743589741</v>
      </c>
      <c r="AO80" s="1" t="e">
        <f>IF(AND(ISNUMBER((Table1[[#This Row],[Max Chip Thermal Density (W/cm2)]])),Table1[[#This Row],[Frequency (GHz)]]&lt;20),Table1[[#This Row],[Max Chip Thermal Density (W/cm2)]],#N/A)</f>
        <v>#N/A</v>
      </c>
      <c r="AP80" s="1" t="e">
        <f>IF(AND(ISNUMBER(Table1[[#This Row],[Max Chip Thermal Density (W/cm2)]]),Table1[[#This Row],[Frequency (GHz)]]&gt;=20,Table1[[#This Row],[Frequency (GHz)]]&lt;50),Table1[[#This Row],[Max Chip Thermal Density (W/cm2)]],#N/A)</f>
        <v>#N/A</v>
      </c>
      <c r="AQ80" s="1" t="e">
        <f>IF(AND(ISNUMBER(Table1[[#This Row],[Max Chip Thermal Density (W/cm2)]]),Table1[[#This Row],[Frequency (GHz)]]&gt;=50,Table1[[#This Row],[Frequency (GHz)]]&lt;75),Table1[[#This Row],[Max Chip Thermal Density (W/cm2)]],#N/A)</f>
        <v>#N/A</v>
      </c>
      <c r="AR80" s="1" t="e">
        <f>IF(AND(ISNUMBER(Table1[[#This Row],[Max Chip Thermal Density (W/cm2)]]),Table1[[#This Row],[Frequency (GHz)]]&gt;=75,Table1[[#This Row],[Frequency (GHz)]]&lt;110),Table1[[#This Row],[Max Chip Thermal Density (W/cm2)]],#N/A)</f>
        <v>#N/A</v>
      </c>
      <c r="AS80" s="1" t="e">
        <f>IF(AND(ISNUMBER(Table1[[#This Row],[Max Chip Thermal Density (W/cm2)]]),Table1[[#This Row],[Frequency (GHz)]]&gt;=110,Table1[[#This Row],[Frequency (GHz)]]&lt;170),Table1[[#This Row],[Max Chip Thermal Density (W/cm2)]],#N/A)</f>
        <v>#N/A</v>
      </c>
      <c r="AT80" s="1" t="e">
        <f>IF(AND(ISNUMBER(Table1[[#This Row],[Max Chip Thermal Density (W/cm2)]]),Table1[[#This Row],[Frequency (GHz)]]&gt;=170,Table1[[#This Row],[Frequency (GHz)]]&lt;260),Table1[[#This Row],[Max Chip Thermal Density (W/cm2)]],#N/A)</f>
        <v>#N/A</v>
      </c>
      <c r="AU80" s="1">
        <f>IF(AND(ISNUMBER(Table1[[#This Row],[Max Chip Thermal Density (W/cm2)]]),Table1[[#This Row],[Frequency (GHz)]]&gt;=260),Table1[[#This Row],[Max Chip Thermal Density (W/cm2)]],#N/A)</f>
        <v>22.243589743589741</v>
      </c>
    </row>
    <row r="81" spans="1:47" x14ac:dyDescent="0.2">
      <c r="A81" s="25">
        <f>IF(ISNUMBER(Table1[[#This Row],[Total Pout/Prad (dBm)]]),Table1[[#This Row],[Total Pout/Prad (dBm)]],#N/A)</f>
        <v>27.030899869919441</v>
      </c>
      <c r="B81" s="1">
        <f>IF(ISNUMBER(Table1[[#This Row],[Total Pout/Prad (dBm)]]),Table1[[#This Row],[Total '# of TX Elements]],#N/A)</f>
        <v>8</v>
      </c>
      <c r="C81" s="1" t="e">
        <f>IF(ISNUMBER(Table1[[#This Row],[TX EIRP (dBm)]]),Table1[[#This Row],[TX EIRP (dBm)]],#N/A)</f>
        <v>#N/A</v>
      </c>
      <c r="D81" s="1">
        <f>Table1[[#This Row],[TX Pdc (W)]]</f>
        <v>2.4</v>
      </c>
      <c r="E81" s="1">
        <f>IF(ISNUMBER(Table1[[#This Row],[Array Aperture Size (cm2)]]),Table1[[#This Row],[Array Aperture Size (cm2)]],IF(Table1[[#This Row],[Antenna on (None, Chip, AiP, PCB)]]="Chip",Table1[[#This Row],[Chip Core Size - X (mm)]]*Table1[[#This Row],[Chip Core Size -Y (mm)]]/100*Table1[[#This Row],['# of IC per Tile]]*Table1[[#This Row],['# of Array Tile]],#N/A))</f>
        <v>4.6420000000000003</v>
      </c>
      <c r="F81" s="1">
        <f t="shared" si="2"/>
        <v>21.031911482673149</v>
      </c>
      <c r="G81" s="1" t="e">
        <f t="shared" si="3"/>
        <v>#N/A</v>
      </c>
      <c r="L81" s="1" t="e">
        <f>IF(Table1[[#This Row],[Frequency (GHz)]]&lt;20,Plot_Data_Power!F81,#N/A)</f>
        <v>#N/A</v>
      </c>
      <c r="M81" s="1">
        <f>IF(AND(Table1[[#This Row],[Frequency (GHz)]]&gt;=20,Table1[[#This Row],[Frequency (GHz)]]&lt;50),Plot_Data_Power!F81,#N/A)</f>
        <v>21.031911482673149</v>
      </c>
      <c r="N81" s="1" t="e">
        <f>IF(AND(Table1[[#This Row],[Frequency (GHz)]]&gt;=50,Table1[[#This Row],[Frequency (GHz)]]&lt;75),Plot_Data_Power!F81,#N/A)</f>
        <v>#N/A</v>
      </c>
      <c r="O81" s="1" t="e">
        <f>IF(AND(Table1[[#This Row],[Frequency (GHz)]]&gt;=75,Table1[[#This Row],[Frequency (GHz)]]&lt;110),Plot_Data_Power!F81,#N/A)</f>
        <v>#N/A</v>
      </c>
      <c r="P81" s="1" t="e">
        <f>IF(AND(Table1[[#This Row],[Frequency (GHz)]]&gt;=110,Table1[[#This Row],[Frequency (GHz)]]&lt;170),Plot_Data_Power!F81,#N/A)</f>
        <v>#N/A</v>
      </c>
      <c r="Q81" s="1" t="e">
        <f>IF(AND(Table1[[#This Row],[Frequency (GHz)]]&gt;=170,Table1[[#This Row],[Frequency (GHz)]]&lt;260),Plot_Data_Power!F81,#N/A)</f>
        <v>#N/A</v>
      </c>
      <c r="R81" s="1" t="e">
        <f>IF(Table1[[#This Row],[Frequency (GHz)]]&gt;=260,Plot_Data_Power!F81,#N/A)</f>
        <v>#N/A</v>
      </c>
      <c r="U81" s="1" t="e">
        <f>IF(Table1[[#This Row],[Frequency (GHz)]]&lt;20,Plot_Data_Power!G81,#N/A)</f>
        <v>#N/A</v>
      </c>
      <c r="V81" s="1" t="e">
        <f>IF(AND(Table1[[#This Row],[Frequency (GHz)]]&gt;=20,Table1[[#This Row],[Frequency (GHz)]]&lt;50),Plot_Data_Power!G81,#N/A)</f>
        <v>#N/A</v>
      </c>
      <c r="W81" s="1" t="e">
        <f>IF(AND(Table1[[#This Row],[Frequency (GHz)]]&gt;=50,Table1[[#This Row],[Frequency (GHz)]]&lt;75),Plot_Data_Power!G81,#N/A)</f>
        <v>#N/A</v>
      </c>
      <c r="X81" s="1" t="e">
        <f>IF(AND(Table1[[#This Row],[Frequency (GHz)]]&gt;=75,Table1[[#This Row],[Frequency (GHz)]]&lt;110),Plot_Data_Power!G81,#N/A)</f>
        <v>#N/A</v>
      </c>
      <c r="Y81" s="1" t="e">
        <f>IF(AND(Table1[[#This Row],[Frequency (GHz)]]&gt;=110,Table1[[#This Row],[Frequency (GHz)]]&lt;170),Plot_Data_Power!G81,#N/A)</f>
        <v>#N/A</v>
      </c>
      <c r="Z81" s="1" t="e">
        <f>IF(AND(Table1[[#This Row],[Frequency (GHz)]]&gt;=170,Table1[[#This Row],[Frequency (GHz)]]&lt;260),Plot_Data_Power!G81,#N/A)</f>
        <v>#N/A</v>
      </c>
      <c r="AA81" s="1" t="e">
        <f>IF(Table1[[#This Row],[Frequency (GHz)]]&gt;=260,Plot_Data_Power!G81,#N/A)</f>
        <v>#N/A</v>
      </c>
      <c r="AD81" s="1">
        <f>IF(ISNUMBER(Table1[[#This Row],[Max Package Thermal Density (W/cm2)]]),Table1[[#This Row],[Max Package Thermal Density (W/cm2)]],#N/A)</f>
        <v>0.51701852649719937</v>
      </c>
      <c r="AE81" s="1" t="e">
        <f>IF(AND(ISNUMBER((Table1[[#This Row],[Max Package Thermal Density (W/cm2)]])),Table1[[#This Row],[Frequency (GHz)]]&lt;20),Table1[[#This Row],[Max Package Thermal Density (W/cm2)]],#N/A)</f>
        <v>#N/A</v>
      </c>
      <c r="AF81" s="1">
        <f>IF(AND(ISNUMBER(Table1[[#This Row],[Max Package Thermal Density (W/cm2)]]),Table1[[#This Row],[Frequency (GHz)]]&gt;=20,Table1[[#This Row],[Frequency (GHz)]]&lt;50),Table1[[#This Row],[Max Package Thermal Density (W/cm2)]],#N/A)</f>
        <v>0.51701852649719937</v>
      </c>
      <c r="AG81" s="1" t="e">
        <f>IF(AND(ISNUMBER(Table1[[#This Row],[Max Package Thermal Density (W/cm2)]]),Table1[[#This Row],[Frequency (GHz)]]&gt;=50,Table1[[#This Row],[Frequency (GHz)]]&lt;75),Table1[[#This Row],[Max Package Thermal Density (W/cm2)]],#N/A)</f>
        <v>#N/A</v>
      </c>
      <c r="AH81" s="1" t="e">
        <f>IF(AND(ISNUMBER(Table1[[#This Row],[Max Package Thermal Density (W/cm2)]]),Table1[[#This Row],[Frequency (GHz)]]&gt;=75,Table1[[#This Row],[Frequency (GHz)]]&lt;110),Table1[[#This Row],[Max Package Thermal Density (W/cm2)]],#N/A)</f>
        <v>#N/A</v>
      </c>
      <c r="AI81" s="1" t="e">
        <f>IF(AND(ISNUMBER(Table1[[#This Row],[Max Package Thermal Density (W/cm2)]]),Table1[[#This Row],[Frequency (GHz)]]&gt;=110,Table1[[#This Row],[Frequency (GHz)]]&lt;170),Table1[[#This Row],[Max Package Thermal Density (W/cm2)]],#N/A)</f>
        <v>#N/A</v>
      </c>
      <c r="AJ81" s="1" t="e">
        <f>IF(AND(ISNUMBER(Table1[[#This Row],[Max Package Thermal Density (W/cm2)]]),Table1[[#This Row],[Frequency (GHz)]]&gt;=170,Table1[[#This Row],[Frequency (GHz)]]&lt;260),Table1[[#This Row],[Max Package Thermal Density (W/cm2)]],#N/A)</f>
        <v>#N/A</v>
      </c>
      <c r="AK81" s="1" t="e">
        <f>IF(AND(ISNUMBER(Table1[[#This Row],[Max Package Thermal Density (W/cm2)]]),Table1[[#This Row],[Frequency (GHz)]]&gt;=260),Table1[[#This Row],[Max Package Thermal Density (W/cm2)]],#N/A)</f>
        <v>#N/A</v>
      </c>
      <c r="AN81" s="1">
        <f>IF(ISNUMBER(Table1[[#This Row],[Max Chip Thermal Density (W/cm2)]]),Table1[[#This Row],[Max Chip Thermal Density (W/cm2)]],#N/A)</f>
        <v>18.580453363062063</v>
      </c>
      <c r="AO81" s="1" t="e">
        <f>IF(AND(ISNUMBER((Table1[[#This Row],[Max Chip Thermal Density (W/cm2)]])),Table1[[#This Row],[Frequency (GHz)]]&lt;20),Table1[[#This Row],[Max Chip Thermal Density (W/cm2)]],#N/A)</f>
        <v>#N/A</v>
      </c>
      <c r="AP81" s="1">
        <f>IF(AND(ISNUMBER(Table1[[#This Row],[Max Chip Thermal Density (W/cm2)]]),Table1[[#This Row],[Frequency (GHz)]]&gt;=20,Table1[[#This Row],[Frequency (GHz)]]&lt;50),Table1[[#This Row],[Max Chip Thermal Density (W/cm2)]],#N/A)</f>
        <v>18.580453363062063</v>
      </c>
      <c r="AQ81" s="1" t="e">
        <f>IF(AND(ISNUMBER(Table1[[#This Row],[Max Chip Thermal Density (W/cm2)]]),Table1[[#This Row],[Frequency (GHz)]]&gt;=50,Table1[[#This Row],[Frequency (GHz)]]&lt;75),Table1[[#This Row],[Max Chip Thermal Density (W/cm2)]],#N/A)</f>
        <v>#N/A</v>
      </c>
      <c r="AR81" s="1" t="e">
        <f>IF(AND(ISNUMBER(Table1[[#This Row],[Max Chip Thermal Density (W/cm2)]]),Table1[[#This Row],[Frequency (GHz)]]&gt;=75,Table1[[#This Row],[Frequency (GHz)]]&lt;110),Table1[[#This Row],[Max Chip Thermal Density (W/cm2)]],#N/A)</f>
        <v>#N/A</v>
      </c>
      <c r="AS81" s="1" t="e">
        <f>IF(AND(ISNUMBER(Table1[[#This Row],[Max Chip Thermal Density (W/cm2)]]),Table1[[#This Row],[Frequency (GHz)]]&gt;=110,Table1[[#This Row],[Frequency (GHz)]]&lt;170),Table1[[#This Row],[Max Chip Thermal Density (W/cm2)]],#N/A)</f>
        <v>#N/A</v>
      </c>
      <c r="AT81" s="1" t="e">
        <f>IF(AND(ISNUMBER(Table1[[#This Row],[Max Chip Thermal Density (W/cm2)]]),Table1[[#This Row],[Frequency (GHz)]]&gt;=170,Table1[[#This Row],[Frequency (GHz)]]&lt;260),Table1[[#This Row],[Max Chip Thermal Density (W/cm2)]],#N/A)</f>
        <v>#N/A</v>
      </c>
      <c r="AU81" s="1" t="e">
        <f>IF(AND(ISNUMBER(Table1[[#This Row],[Max Chip Thermal Density (W/cm2)]]),Table1[[#This Row],[Frequency (GHz)]]&gt;=260),Table1[[#This Row],[Max Chip Thermal Density (W/cm2)]],#N/A)</f>
        <v>#N/A</v>
      </c>
    </row>
    <row r="82" spans="1:47" x14ac:dyDescent="0.2">
      <c r="A82" s="25">
        <f>IF(ISNUMBER(Table1[[#This Row],[Total Pout/Prad (dBm)]]),Table1[[#This Row],[Total Pout/Prad (dBm)]],#N/A)</f>
        <v>21.030899869919434</v>
      </c>
      <c r="B82" s="1">
        <f>IF(ISNUMBER(Table1[[#This Row],[Total Pout/Prad (dBm)]]),Table1[[#This Row],[Total '# of TX Elements]],#N/A)</f>
        <v>8</v>
      </c>
      <c r="C82" s="1">
        <f>IF(ISNUMBER(Table1[[#This Row],[TX EIRP (dBm)]]),Table1[[#This Row],[TX EIRP (dBm)]],#N/A)</f>
        <v>27</v>
      </c>
      <c r="D82" s="1">
        <f>Table1[[#This Row],[TX Pdc (W)]]</f>
        <v>2</v>
      </c>
      <c r="E82" s="1">
        <f>IF(ISNUMBER(Table1[[#This Row],[Array Aperture Size (cm2)]]),Table1[[#This Row],[Array Aperture Size (cm2)]],IF(Table1[[#This Row],[Antenna on (None, Chip, AiP, PCB)]]="Chip",Table1[[#This Row],[Chip Core Size - X (mm)]]*Table1[[#This Row],[Chip Core Size -Y (mm)]]/100*Table1[[#This Row],['# of IC per Tile]]*Table1[[#This Row],['# of Array Tile]],#N/A))</f>
        <v>2.2800000000000002</v>
      </c>
      <c r="F82" s="1">
        <f t="shared" si="2"/>
        <v>6.3395727698444562</v>
      </c>
      <c r="G82" s="1">
        <f t="shared" si="3"/>
        <v>25.059361681363633</v>
      </c>
      <c r="L82" s="1">
        <f>IF(Table1[[#This Row],[Frequency (GHz)]]&lt;20,Plot_Data_Power!F82,#N/A)</f>
        <v>6.3395727698444562</v>
      </c>
      <c r="M82" s="1" t="e">
        <f>IF(AND(Table1[[#This Row],[Frequency (GHz)]]&gt;=20,Table1[[#This Row],[Frequency (GHz)]]&lt;50),Plot_Data_Power!F82,#N/A)</f>
        <v>#N/A</v>
      </c>
      <c r="N82" s="1" t="e">
        <f>IF(AND(Table1[[#This Row],[Frequency (GHz)]]&gt;=50,Table1[[#This Row],[Frequency (GHz)]]&lt;75),Plot_Data_Power!F82,#N/A)</f>
        <v>#N/A</v>
      </c>
      <c r="O82" s="1" t="e">
        <f>IF(AND(Table1[[#This Row],[Frequency (GHz)]]&gt;=75,Table1[[#This Row],[Frequency (GHz)]]&lt;110),Plot_Data_Power!F82,#N/A)</f>
        <v>#N/A</v>
      </c>
      <c r="P82" s="1" t="e">
        <f>IF(AND(Table1[[#This Row],[Frequency (GHz)]]&gt;=110,Table1[[#This Row],[Frequency (GHz)]]&lt;170),Plot_Data_Power!F82,#N/A)</f>
        <v>#N/A</v>
      </c>
      <c r="Q82" s="1" t="e">
        <f>IF(AND(Table1[[#This Row],[Frequency (GHz)]]&gt;=170,Table1[[#This Row],[Frequency (GHz)]]&lt;260),Plot_Data_Power!F82,#N/A)</f>
        <v>#N/A</v>
      </c>
      <c r="R82" s="1" t="e">
        <f>IF(Table1[[#This Row],[Frequency (GHz)]]&gt;=260,Plot_Data_Power!F82,#N/A)</f>
        <v>#N/A</v>
      </c>
      <c r="U82" s="1">
        <f>IF(Table1[[#This Row],[Frequency (GHz)]]&lt;20,Plot_Data_Power!G82,#N/A)</f>
        <v>25.059361681363633</v>
      </c>
      <c r="V82" s="1" t="e">
        <f>IF(AND(Table1[[#This Row],[Frequency (GHz)]]&gt;=20,Table1[[#This Row],[Frequency (GHz)]]&lt;50),Plot_Data_Power!G82,#N/A)</f>
        <v>#N/A</v>
      </c>
      <c r="W82" s="1" t="e">
        <f>IF(AND(Table1[[#This Row],[Frequency (GHz)]]&gt;=50,Table1[[#This Row],[Frequency (GHz)]]&lt;75),Plot_Data_Power!G82,#N/A)</f>
        <v>#N/A</v>
      </c>
      <c r="X82" s="1" t="e">
        <f>IF(AND(Table1[[#This Row],[Frequency (GHz)]]&gt;=75,Table1[[#This Row],[Frequency (GHz)]]&lt;110),Plot_Data_Power!G82,#N/A)</f>
        <v>#N/A</v>
      </c>
      <c r="Y82" s="1" t="e">
        <f>IF(AND(Table1[[#This Row],[Frequency (GHz)]]&gt;=110,Table1[[#This Row],[Frequency (GHz)]]&lt;170),Plot_Data_Power!G82,#N/A)</f>
        <v>#N/A</v>
      </c>
      <c r="Z82" s="1" t="e">
        <f>IF(AND(Table1[[#This Row],[Frequency (GHz)]]&gt;=170,Table1[[#This Row],[Frequency (GHz)]]&lt;260),Plot_Data_Power!G82,#N/A)</f>
        <v>#N/A</v>
      </c>
      <c r="AA82" s="1" t="e">
        <f>IF(Table1[[#This Row],[Frequency (GHz)]]&gt;=260,Plot_Data_Power!G82,#N/A)</f>
        <v>#N/A</v>
      </c>
      <c r="AD82" s="1">
        <f>IF(ISNUMBER(Table1[[#This Row],[Max Package Thermal Density (W/cm2)]]),Table1[[#This Row],[Max Package Thermal Density (W/cm2)]],#N/A)</f>
        <v>0.8771929824561403</v>
      </c>
      <c r="AE82" s="1">
        <f>IF(AND(ISNUMBER((Table1[[#This Row],[Max Package Thermal Density (W/cm2)]])),Table1[[#This Row],[Frequency (GHz)]]&lt;20),Table1[[#This Row],[Max Package Thermal Density (W/cm2)]],#N/A)</f>
        <v>0.8771929824561403</v>
      </c>
      <c r="AF82" s="1" t="e">
        <f>IF(AND(ISNUMBER(Table1[[#This Row],[Max Package Thermal Density (W/cm2)]]),Table1[[#This Row],[Frequency (GHz)]]&gt;=20,Table1[[#This Row],[Frequency (GHz)]]&lt;50),Table1[[#This Row],[Max Package Thermal Density (W/cm2)]],#N/A)</f>
        <v>#N/A</v>
      </c>
      <c r="AG82" s="1" t="e">
        <f>IF(AND(ISNUMBER(Table1[[#This Row],[Max Package Thermal Density (W/cm2)]]),Table1[[#This Row],[Frequency (GHz)]]&gt;=50,Table1[[#This Row],[Frequency (GHz)]]&lt;75),Table1[[#This Row],[Max Package Thermal Density (W/cm2)]],#N/A)</f>
        <v>#N/A</v>
      </c>
      <c r="AH82" s="1" t="e">
        <f>IF(AND(ISNUMBER(Table1[[#This Row],[Max Package Thermal Density (W/cm2)]]),Table1[[#This Row],[Frequency (GHz)]]&gt;=75,Table1[[#This Row],[Frequency (GHz)]]&lt;110),Table1[[#This Row],[Max Package Thermal Density (W/cm2)]],#N/A)</f>
        <v>#N/A</v>
      </c>
      <c r="AI82" s="1" t="e">
        <f>IF(AND(ISNUMBER(Table1[[#This Row],[Max Package Thermal Density (W/cm2)]]),Table1[[#This Row],[Frequency (GHz)]]&gt;=110,Table1[[#This Row],[Frequency (GHz)]]&lt;170),Table1[[#This Row],[Max Package Thermal Density (W/cm2)]],#N/A)</f>
        <v>#N/A</v>
      </c>
      <c r="AJ82" s="1" t="e">
        <f>IF(AND(ISNUMBER(Table1[[#This Row],[Max Package Thermal Density (W/cm2)]]),Table1[[#This Row],[Frequency (GHz)]]&gt;=170,Table1[[#This Row],[Frequency (GHz)]]&lt;260),Table1[[#This Row],[Max Package Thermal Density (W/cm2)]],#N/A)</f>
        <v>#N/A</v>
      </c>
      <c r="AK82" s="1" t="e">
        <f>IF(AND(ISNUMBER(Table1[[#This Row],[Max Package Thermal Density (W/cm2)]]),Table1[[#This Row],[Frequency (GHz)]]&gt;=260),Table1[[#This Row],[Max Package Thermal Density (W/cm2)]],#N/A)</f>
        <v>#N/A</v>
      </c>
      <c r="AN82" s="1">
        <f>IF(ISNUMBER(Table1[[#This Row],[Max Chip Thermal Density (W/cm2)]]),Table1[[#This Row],[Max Chip Thermal Density (W/cm2)]],#N/A)</f>
        <v>8</v>
      </c>
      <c r="AO82" s="1">
        <f>IF(AND(ISNUMBER((Table1[[#This Row],[Max Chip Thermal Density (W/cm2)]])),Table1[[#This Row],[Frequency (GHz)]]&lt;20),Table1[[#This Row],[Max Chip Thermal Density (W/cm2)]],#N/A)</f>
        <v>8</v>
      </c>
      <c r="AP82" s="1" t="e">
        <f>IF(AND(ISNUMBER(Table1[[#This Row],[Max Chip Thermal Density (W/cm2)]]),Table1[[#This Row],[Frequency (GHz)]]&gt;=20,Table1[[#This Row],[Frequency (GHz)]]&lt;50),Table1[[#This Row],[Max Chip Thermal Density (W/cm2)]],#N/A)</f>
        <v>#N/A</v>
      </c>
      <c r="AQ82" s="1" t="e">
        <f>IF(AND(ISNUMBER(Table1[[#This Row],[Max Chip Thermal Density (W/cm2)]]),Table1[[#This Row],[Frequency (GHz)]]&gt;=50,Table1[[#This Row],[Frequency (GHz)]]&lt;75),Table1[[#This Row],[Max Chip Thermal Density (W/cm2)]],#N/A)</f>
        <v>#N/A</v>
      </c>
      <c r="AR82" s="1" t="e">
        <f>IF(AND(ISNUMBER(Table1[[#This Row],[Max Chip Thermal Density (W/cm2)]]),Table1[[#This Row],[Frequency (GHz)]]&gt;=75,Table1[[#This Row],[Frequency (GHz)]]&lt;110),Table1[[#This Row],[Max Chip Thermal Density (W/cm2)]],#N/A)</f>
        <v>#N/A</v>
      </c>
      <c r="AS82" s="1" t="e">
        <f>IF(AND(ISNUMBER(Table1[[#This Row],[Max Chip Thermal Density (W/cm2)]]),Table1[[#This Row],[Frequency (GHz)]]&gt;=110,Table1[[#This Row],[Frequency (GHz)]]&lt;170),Table1[[#This Row],[Max Chip Thermal Density (W/cm2)]],#N/A)</f>
        <v>#N/A</v>
      </c>
      <c r="AT82" s="1" t="e">
        <f>IF(AND(ISNUMBER(Table1[[#This Row],[Max Chip Thermal Density (W/cm2)]]),Table1[[#This Row],[Frequency (GHz)]]&gt;=170,Table1[[#This Row],[Frequency (GHz)]]&lt;260),Table1[[#This Row],[Max Chip Thermal Density (W/cm2)]],#N/A)</f>
        <v>#N/A</v>
      </c>
      <c r="AU82" s="1" t="e">
        <f>IF(AND(ISNUMBER(Table1[[#This Row],[Max Chip Thermal Density (W/cm2)]]),Table1[[#This Row],[Frequency (GHz)]]&gt;=260),Table1[[#This Row],[Max Chip Thermal Density (W/cm2)]],#N/A)</f>
        <v>#N/A</v>
      </c>
    </row>
    <row r="83" spans="1:47" x14ac:dyDescent="0.2">
      <c r="A83" s="25">
        <f>IF(ISNUMBER(Table1[[#This Row],[Total Pout/Prad (dBm)]]),Table1[[#This Row],[Total Pout/Prad (dBm)]],#N/A)</f>
        <v>23.630899869919439</v>
      </c>
      <c r="B83" s="1">
        <f>IF(ISNUMBER(Table1[[#This Row],[Total Pout/Prad (dBm)]]),Table1[[#This Row],[Total '# of TX Elements]],#N/A)</f>
        <v>8</v>
      </c>
      <c r="C83" s="1">
        <f>IF(ISNUMBER(Table1[[#This Row],[TX EIRP (dBm)]]),Table1[[#This Row],[TX EIRP (dBm)]],#N/A)</f>
        <v>34</v>
      </c>
      <c r="D83" s="1">
        <f>Table1[[#This Row],[TX Pdc (W)]]</f>
        <v>2</v>
      </c>
      <c r="E83" s="1">
        <f>IF(ISNUMBER(Table1[[#This Row],[Array Aperture Size (cm2)]]),Table1[[#This Row],[Array Aperture Size (cm2)]],IF(Table1[[#This Row],[Antenna on (None, Chip, AiP, PCB)]]="Chip",Table1[[#This Row],[Chip Core Size - X (mm)]]*Table1[[#This Row],[Chip Core Size -Y (mm)]]/100*Table1[[#This Row],['# of IC per Tile]]*Table1[[#This Row],['# of Array Tile]],#N/A))</f>
        <v>2.2800000000000002</v>
      </c>
      <c r="F83" s="1">
        <f t="shared" si="2"/>
        <v>11.536126012506429</v>
      </c>
      <c r="G83" s="1">
        <f t="shared" si="3"/>
        <v>125.59432157547906</v>
      </c>
      <c r="L83" s="1" t="e">
        <f>IF(Table1[[#This Row],[Frequency (GHz)]]&lt;20,Plot_Data_Power!F83,#N/A)</f>
        <v>#N/A</v>
      </c>
      <c r="M83" s="1">
        <f>IF(AND(Table1[[#This Row],[Frequency (GHz)]]&gt;=20,Table1[[#This Row],[Frequency (GHz)]]&lt;50),Plot_Data_Power!F83,#N/A)</f>
        <v>11.536126012506429</v>
      </c>
      <c r="N83" s="1" t="e">
        <f>IF(AND(Table1[[#This Row],[Frequency (GHz)]]&gt;=50,Table1[[#This Row],[Frequency (GHz)]]&lt;75),Plot_Data_Power!F83,#N/A)</f>
        <v>#N/A</v>
      </c>
      <c r="O83" s="1" t="e">
        <f>IF(AND(Table1[[#This Row],[Frequency (GHz)]]&gt;=75,Table1[[#This Row],[Frequency (GHz)]]&lt;110),Plot_Data_Power!F83,#N/A)</f>
        <v>#N/A</v>
      </c>
      <c r="P83" s="1" t="e">
        <f>IF(AND(Table1[[#This Row],[Frequency (GHz)]]&gt;=110,Table1[[#This Row],[Frequency (GHz)]]&lt;170),Plot_Data_Power!F83,#N/A)</f>
        <v>#N/A</v>
      </c>
      <c r="Q83" s="1" t="e">
        <f>IF(AND(Table1[[#This Row],[Frequency (GHz)]]&gt;=170,Table1[[#This Row],[Frequency (GHz)]]&lt;260),Plot_Data_Power!F83,#N/A)</f>
        <v>#N/A</v>
      </c>
      <c r="R83" s="1" t="e">
        <f>IF(Table1[[#This Row],[Frequency (GHz)]]&gt;=260,Plot_Data_Power!F83,#N/A)</f>
        <v>#N/A</v>
      </c>
      <c r="U83" s="1" t="e">
        <f>IF(Table1[[#This Row],[Frequency (GHz)]]&lt;20,Plot_Data_Power!G83,#N/A)</f>
        <v>#N/A</v>
      </c>
      <c r="V83" s="1">
        <f>IF(AND(Table1[[#This Row],[Frequency (GHz)]]&gt;=20,Table1[[#This Row],[Frequency (GHz)]]&lt;50),Plot_Data_Power!G83,#N/A)</f>
        <v>125.59432157547906</v>
      </c>
      <c r="W83" s="1" t="e">
        <f>IF(AND(Table1[[#This Row],[Frequency (GHz)]]&gt;=50,Table1[[#This Row],[Frequency (GHz)]]&lt;75),Plot_Data_Power!G83,#N/A)</f>
        <v>#N/A</v>
      </c>
      <c r="X83" s="1" t="e">
        <f>IF(AND(Table1[[#This Row],[Frequency (GHz)]]&gt;=75,Table1[[#This Row],[Frequency (GHz)]]&lt;110),Plot_Data_Power!G83,#N/A)</f>
        <v>#N/A</v>
      </c>
      <c r="Y83" s="1" t="e">
        <f>IF(AND(Table1[[#This Row],[Frequency (GHz)]]&gt;=110,Table1[[#This Row],[Frequency (GHz)]]&lt;170),Plot_Data_Power!G83,#N/A)</f>
        <v>#N/A</v>
      </c>
      <c r="Z83" s="1" t="e">
        <f>IF(AND(Table1[[#This Row],[Frequency (GHz)]]&gt;=170,Table1[[#This Row],[Frequency (GHz)]]&lt;260),Plot_Data_Power!G83,#N/A)</f>
        <v>#N/A</v>
      </c>
      <c r="AA83" s="1" t="e">
        <f>IF(Table1[[#This Row],[Frequency (GHz)]]&gt;=260,Plot_Data_Power!G83,#N/A)</f>
        <v>#N/A</v>
      </c>
      <c r="AD83" s="1">
        <f>IF(ISNUMBER(Table1[[#This Row],[Max Package Thermal Density (W/cm2)]]),Table1[[#This Row],[Max Package Thermal Density (W/cm2)]],#N/A)</f>
        <v>0.8771929824561403</v>
      </c>
      <c r="AE83" s="1" t="e">
        <f>IF(AND(ISNUMBER((Table1[[#This Row],[Max Package Thermal Density (W/cm2)]])),Table1[[#This Row],[Frequency (GHz)]]&lt;20),Table1[[#This Row],[Max Package Thermal Density (W/cm2)]],#N/A)</f>
        <v>#N/A</v>
      </c>
      <c r="AF83" s="1">
        <f>IF(AND(ISNUMBER(Table1[[#This Row],[Max Package Thermal Density (W/cm2)]]),Table1[[#This Row],[Frequency (GHz)]]&gt;=20,Table1[[#This Row],[Frequency (GHz)]]&lt;50),Table1[[#This Row],[Max Package Thermal Density (W/cm2)]],#N/A)</f>
        <v>0.8771929824561403</v>
      </c>
      <c r="AG83" s="1" t="e">
        <f>IF(AND(ISNUMBER(Table1[[#This Row],[Max Package Thermal Density (W/cm2)]]),Table1[[#This Row],[Frequency (GHz)]]&gt;=50,Table1[[#This Row],[Frequency (GHz)]]&lt;75),Table1[[#This Row],[Max Package Thermal Density (W/cm2)]],#N/A)</f>
        <v>#N/A</v>
      </c>
      <c r="AH83" s="1" t="e">
        <f>IF(AND(ISNUMBER(Table1[[#This Row],[Max Package Thermal Density (W/cm2)]]),Table1[[#This Row],[Frequency (GHz)]]&gt;=75,Table1[[#This Row],[Frequency (GHz)]]&lt;110),Table1[[#This Row],[Max Package Thermal Density (W/cm2)]],#N/A)</f>
        <v>#N/A</v>
      </c>
      <c r="AI83" s="1" t="e">
        <f>IF(AND(ISNUMBER(Table1[[#This Row],[Max Package Thermal Density (W/cm2)]]),Table1[[#This Row],[Frequency (GHz)]]&gt;=110,Table1[[#This Row],[Frequency (GHz)]]&lt;170),Table1[[#This Row],[Max Package Thermal Density (W/cm2)]],#N/A)</f>
        <v>#N/A</v>
      </c>
      <c r="AJ83" s="1" t="e">
        <f>IF(AND(ISNUMBER(Table1[[#This Row],[Max Package Thermal Density (W/cm2)]]),Table1[[#This Row],[Frequency (GHz)]]&gt;=170,Table1[[#This Row],[Frequency (GHz)]]&lt;260),Table1[[#This Row],[Max Package Thermal Density (W/cm2)]],#N/A)</f>
        <v>#N/A</v>
      </c>
      <c r="AK83" s="1" t="e">
        <f>IF(AND(ISNUMBER(Table1[[#This Row],[Max Package Thermal Density (W/cm2)]]),Table1[[#This Row],[Frequency (GHz)]]&gt;=260),Table1[[#This Row],[Max Package Thermal Density (W/cm2)]],#N/A)</f>
        <v>#N/A</v>
      </c>
      <c r="AN83" s="1">
        <f>IF(ISNUMBER(Table1[[#This Row],[Max Chip Thermal Density (W/cm2)]]),Table1[[#This Row],[Max Chip Thermal Density (W/cm2)]],#N/A)</f>
        <v>8</v>
      </c>
      <c r="AO83" s="1" t="e">
        <f>IF(AND(ISNUMBER((Table1[[#This Row],[Max Chip Thermal Density (W/cm2)]])),Table1[[#This Row],[Frequency (GHz)]]&lt;20),Table1[[#This Row],[Max Chip Thermal Density (W/cm2)]],#N/A)</f>
        <v>#N/A</v>
      </c>
      <c r="AP83" s="1">
        <f>IF(AND(ISNUMBER(Table1[[#This Row],[Max Chip Thermal Density (W/cm2)]]),Table1[[#This Row],[Frequency (GHz)]]&gt;=20,Table1[[#This Row],[Frequency (GHz)]]&lt;50),Table1[[#This Row],[Max Chip Thermal Density (W/cm2)]],#N/A)</f>
        <v>8</v>
      </c>
      <c r="AQ83" s="1" t="e">
        <f>IF(AND(ISNUMBER(Table1[[#This Row],[Max Chip Thermal Density (W/cm2)]]),Table1[[#This Row],[Frequency (GHz)]]&gt;=50,Table1[[#This Row],[Frequency (GHz)]]&lt;75),Table1[[#This Row],[Max Chip Thermal Density (W/cm2)]],#N/A)</f>
        <v>#N/A</v>
      </c>
      <c r="AR83" s="1" t="e">
        <f>IF(AND(ISNUMBER(Table1[[#This Row],[Max Chip Thermal Density (W/cm2)]]),Table1[[#This Row],[Frequency (GHz)]]&gt;=75,Table1[[#This Row],[Frequency (GHz)]]&lt;110),Table1[[#This Row],[Max Chip Thermal Density (W/cm2)]],#N/A)</f>
        <v>#N/A</v>
      </c>
      <c r="AS83" s="1" t="e">
        <f>IF(AND(ISNUMBER(Table1[[#This Row],[Max Chip Thermal Density (W/cm2)]]),Table1[[#This Row],[Frequency (GHz)]]&gt;=110,Table1[[#This Row],[Frequency (GHz)]]&lt;170),Table1[[#This Row],[Max Chip Thermal Density (W/cm2)]],#N/A)</f>
        <v>#N/A</v>
      </c>
      <c r="AT83" s="1" t="e">
        <f>IF(AND(ISNUMBER(Table1[[#This Row],[Max Chip Thermal Density (W/cm2)]]),Table1[[#This Row],[Frequency (GHz)]]&gt;=170,Table1[[#This Row],[Frequency (GHz)]]&lt;260),Table1[[#This Row],[Max Chip Thermal Density (W/cm2)]],#N/A)</f>
        <v>#N/A</v>
      </c>
      <c r="AU83" s="1" t="e">
        <f>IF(AND(ISNUMBER(Table1[[#This Row],[Max Chip Thermal Density (W/cm2)]]),Table1[[#This Row],[Frequency (GHz)]]&gt;=260),Table1[[#This Row],[Max Chip Thermal Density (W/cm2)]],#N/A)</f>
        <v>#N/A</v>
      </c>
    </row>
    <row r="84" spans="1:47" x14ac:dyDescent="0.2">
      <c r="A84" s="25">
        <f>IF(ISNUMBER(Table1[[#This Row],[Total Pout/Prad (dBm)]]),Table1[[#This Row],[Total Pout/Prad (dBm)]],#N/A)</f>
        <v>22.93089986991944</v>
      </c>
      <c r="B84" s="1">
        <f>IF(ISNUMBER(Table1[[#This Row],[Total Pout/Prad (dBm)]]),Table1[[#This Row],[Total '# of TX Elements]],#N/A)</f>
        <v>8</v>
      </c>
      <c r="C84" s="1">
        <f>IF(ISNUMBER(Table1[[#This Row],[TX EIRP (dBm)]]),Table1[[#This Row],[TX EIRP (dBm)]],#N/A)</f>
        <v>33</v>
      </c>
      <c r="D84" s="1">
        <f>Table1[[#This Row],[TX Pdc (W)]]</f>
        <v>2</v>
      </c>
      <c r="E84" s="1">
        <f>IF(ISNUMBER(Table1[[#This Row],[Array Aperture Size (cm2)]]),Table1[[#This Row],[Array Aperture Size (cm2)]],IF(Table1[[#This Row],[Antenna on (None, Chip, AiP, PCB)]]="Chip",Table1[[#This Row],[Chip Core Size - X (mm)]]*Table1[[#This Row],[Chip Core Size -Y (mm)]]/100*Table1[[#This Row],['# of IC per Tile]]*Table1[[#This Row],['# of Array Tile]],#N/A))</f>
        <v>2.2800000000000002</v>
      </c>
      <c r="F84" s="1">
        <f t="shared" si="2"/>
        <v>9.818835662740133</v>
      </c>
      <c r="G84" s="1">
        <f t="shared" si="3"/>
        <v>99.763115748444022</v>
      </c>
      <c r="L84" s="1" t="e">
        <f>IF(Table1[[#This Row],[Frequency (GHz)]]&lt;20,Plot_Data_Power!F84,#N/A)</f>
        <v>#N/A</v>
      </c>
      <c r="M84" s="1" t="e">
        <f>IF(AND(Table1[[#This Row],[Frequency (GHz)]]&gt;=20,Table1[[#This Row],[Frequency (GHz)]]&lt;50),Plot_Data_Power!F84,#N/A)</f>
        <v>#N/A</v>
      </c>
      <c r="N84" s="1">
        <f>IF(AND(Table1[[#This Row],[Frequency (GHz)]]&gt;=50,Table1[[#This Row],[Frequency (GHz)]]&lt;75),Plot_Data_Power!F84,#N/A)</f>
        <v>9.818835662740133</v>
      </c>
      <c r="O84" s="1" t="e">
        <f>IF(AND(Table1[[#This Row],[Frequency (GHz)]]&gt;=75,Table1[[#This Row],[Frequency (GHz)]]&lt;110),Plot_Data_Power!F84,#N/A)</f>
        <v>#N/A</v>
      </c>
      <c r="P84" s="1" t="e">
        <f>IF(AND(Table1[[#This Row],[Frequency (GHz)]]&gt;=110,Table1[[#This Row],[Frequency (GHz)]]&lt;170),Plot_Data_Power!F84,#N/A)</f>
        <v>#N/A</v>
      </c>
      <c r="Q84" s="1" t="e">
        <f>IF(AND(Table1[[#This Row],[Frequency (GHz)]]&gt;=170,Table1[[#This Row],[Frequency (GHz)]]&lt;260),Plot_Data_Power!F84,#N/A)</f>
        <v>#N/A</v>
      </c>
      <c r="R84" s="1" t="e">
        <f>IF(Table1[[#This Row],[Frequency (GHz)]]&gt;=260,Plot_Data_Power!F84,#N/A)</f>
        <v>#N/A</v>
      </c>
      <c r="U84" s="1" t="e">
        <f>IF(Table1[[#This Row],[Frequency (GHz)]]&lt;20,Plot_Data_Power!G84,#N/A)</f>
        <v>#N/A</v>
      </c>
      <c r="V84" s="1" t="e">
        <f>IF(AND(Table1[[#This Row],[Frequency (GHz)]]&gt;=20,Table1[[#This Row],[Frequency (GHz)]]&lt;50),Plot_Data_Power!G84,#N/A)</f>
        <v>#N/A</v>
      </c>
      <c r="W84" s="1">
        <f>IF(AND(Table1[[#This Row],[Frequency (GHz)]]&gt;=50,Table1[[#This Row],[Frequency (GHz)]]&lt;75),Plot_Data_Power!G84,#N/A)</f>
        <v>99.763115748444022</v>
      </c>
      <c r="X84" s="1" t="e">
        <f>IF(AND(Table1[[#This Row],[Frequency (GHz)]]&gt;=75,Table1[[#This Row],[Frequency (GHz)]]&lt;110),Plot_Data_Power!G84,#N/A)</f>
        <v>#N/A</v>
      </c>
      <c r="Y84" s="1" t="e">
        <f>IF(AND(Table1[[#This Row],[Frequency (GHz)]]&gt;=110,Table1[[#This Row],[Frequency (GHz)]]&lt;170),Plot_Data_Power!G84,#N/A)</f>
        <v>#N/A</v>
      </c>
      <c r="Z84" s="1" t="e">
        <f>IF(AND(Table1[[#This Row],[Frequency (GHz)]]&gt;=170,Table1[[#This Row],[Frequency (GHz)]]&lt;260),Plot_Data_Power!G84,#N/A)</f>
        <v>#N/A</v>
      </c>
      <c r="AA84" s="1" t="e">
        <f>IF(Table1[[#This Row],[Frequency (GHz)]]&gt;=260,Plot_Data_Power!G84,#N/A)</f>
        <v>#N/A</v>
      </c>
      <c r="AD84" s="1">
        <f>IF(ISNUMBER(Table1[[#This Row],[Max Package Thermal Density (W/cm2)]]),Table1[[#This Row],[Max Package Thermal Density (W/cm2)]],#N/A)</f>
        <v>0.8771929824561403</v>
      </c>
      <c r="AE84" s="1" t="e">
        <f>IF(AND(ISNUMBER((Table1[[#This Row],[Max Package Thermal Density (W/cm2)]])),Table1[[#This Row],[Frequency (GHz)]]&lt;20),Table1[[#This Row],[Max Package Thermal Density (W/cm2)]],#N/A)</f>
        <v>#N/A</v>
      </c>
      <c r="AF84" s="1" t="e">
        <f>IF(AND(ISNUMBER(Table1[[#This Row],[Max Package Thermal Density (W/cm2)]]),Table1[[#This Row],[Frequency (GHz)]]&gt;=20,Table1[[#This Row],[Frequency (GHz)]]&lt;50),Table1[[#This Row],[Max Package Thermal Density (W/cm2)]],#N/A)</f>
        <v>#N/A</v>
      </c>
      <c r="AG84" s="1">
        <f>IF(AND(ISNUMBER(Table1[[#This Row],[Max Package Thermal Density (W/cm2)]]),Table1[[#This Row],[Frequency (GHz)]]&gt;=50,Table1[[#This Row],[Frequency (GHz)]]&lt;75),Table1[[#This Row],[Max Package Thermal Density (W/cm2)]],#N/A)</f>
        <v>0.8771929824561403</v>
      </c>
      <c r="AH84" s="1" t="e">
        <f>IF(AND(ISNUMBER(Table1[[#This Row],[Max Package Thermal Density (W/cm2)]]),Table1[[#This Row],[Frequency (GHz)]]&gt;=75,Table1[[#This Row],[Frequency (GHz)]]&lt;110),Table1[[#This Row],[Max Package Thermal Density (W/cm2)]],#N/A)</f>
        <v>#N/A</v>
      </c>
      <c r="AI84" s="1" t="e">
        <f>IF(AND(ISNUMBER(Table1[[#This Row],[Max Package Thermal Density (W/cm2)]]),Table1[[#This Row],[Frequency (GHz)]]&gt;=110,Table1[[#This Row],[Frequency (GHz)]]&lt;170),Table1[[#This Row],[Max Package Thermal Density (W/cm2)]],#N/A)</f>
        <v>#N/A</v>
      </c>
      <c r="AJ84" s="1" t="e">
        <f>IF(AND(ISNUMBER(Table1[[#This Row],[Max Package Thermal Density (W/cm2)]]),Table1[[#This Row],[Frequency (GHz)]]&gt;=170,Table1[[#This Row],[Frequency (GHz)]]&lt;260),Table1[[#This Row],[Max Package Thermal Density (W/cm2)]],#N/A)</f>
        <v>#N/A</v>
      </c>
      <c r="AK84" s="1" t="e">
        <f>IF(AND(ISNUMBER(Table1[[#This Row],[Max Package Thermal Density (W/cm2)]]),Table1[[#This Row],[Frequency (GHz)]]&gt;=260),Table1[[#This Row],[Max Package Thermal Density (W/cm2)]],#N/A)</f>
        <v>#N/A</v>
      </c>
      <c r="AN84" s="1">
        <f>IF(ISNUMBER(Table1[[#This Row],[Max Chip Thermal Density (W/cm2)]]),Table1[[#This Row],[Max Chip Thermal Density (W/cm2)]],#N/A)</f>
        <v>8</v>
      </c>
      <c r="AO84" s="1" t="e">
        <f>IF(AND(ISNUMBER((Table1[[#This Row],[Max Chip Thermal Density (W/cm2)]])),Table1[[#This Row],[Frequency (GHz)]]&lt;20),Table1[[#This Row],[Max Chip Thermal Density (W/cm2)]],#N/A)</f>
        <v>#N/A</v>
      </c>
      <c r="AP84" s="1" t="e">
        <f>IF(AND(ISNUMBER(Table1[[#This Row],[Max Chip Thermal Density (W/cm2)]]),Table1[[#This Row],[Frequency (GHz)]]&gt;=20,Table1[[#This Row],[Frequency (GHz)]]&lt;50),Table1[[#This Row],[Max Chip Thermal Density (W/cm2)]],#N/A)</f>
        <v>#N/A</v>
      </c>
      <c r="AQ84" s="1">
        <f>IF(AND(ISNUMBER(Table1[[#This Row],[Max Chip Thermal Density (W/cm2)]]),Table1[[#This Row],[Frequency (GHz)]]&gt;=50,Table1[[#This Row],[Frequency (GHz)]]&lt;75),Table1[[#This Row],[Max Chip Thermal Density (W/cm2)]],#N/A)</f>
        <v>8</v>
      </c>
      <c r="AR84" s="1" t="e">
        <f>IF(AND(ISNUMBER(Table1[[#This Row],[Max Chip Thermal Density (W/cm2)]]),Table1[[#This Row],[Frequency (GHz)]]&gt;=75,Table1[[#This Row],[Frequency (GHz)]]&lt;110),Table1[[#This Row],[Max Chip Thermal Density (W/cm2)]],#N/A)</f>
        <v>#N/A</v>
      </c>
      <c r="AS84" s="1" t="e">
        <f>IF(AND(ISNUMBER(Table1[[#This Row],[Max Chip Thermal Density (W/cm2)]]),Table1[[#This Row],[Frequency (GHz)]]&gt;=110,Table1[[#This Row],[Frequency (GHz)]]&lt;170),Table1[[#This Row],[Max Chip Thermal Density (W/cm2)]],#N/A)</f>
        <v>#N/A</v>
      </c>
      <c r="AT84" s="1" t="e">
        <f>IF(AND(ISNUMBER(Table1[[#This Row],[Max Chip Thermal Density (W/cm2)]]),Table1[[#This Row],[Frequency (GHz)]]&gt;=170,Table1[[#This Row],[Frequency (GHz)]]&lt;260),Table1[[#This Row],[Max Chip Thermal Density (W/cm2)]],#N/A)</f>
        <v>#N/A</v>
      </c>
      <c r="AU84" s="1" t="e">
        <f>IF(AND(ISNUMBER(Table1[[#This Row],[Max Chip Thermal Density (W/cm2)]]),Table1[[#This Row],[Frequency (GHz)]]&gt;=260),Table1[[#This Row],[Max Chip Thermal Density (W/cm2)]],#N/A)</f>
        <v>#N/A</v>
      </c>
    </row>
    <row r="85" spans="1:47" x14ac:dyDescent="0.2">
      <c r="A85" s="25" t="e">
        <f>IF(ISNUMBER(Table1[[#This Row],[Total Pout/Prad (dBm)]]),Table1[[#This Row],[Total Pout/Prad (dBm)]],#N/A)</f>
        <v>#N/A</v>
      </c>
      <c r="B85" s="1" t="e">
        <f>IF(ISNUMBER(Table1[[#This Row],[Total Pout/Prad (dBm)]]),Table1[[#This Row],[Total '# of TX Elements]],#N/A)</f>
        <v>#N/A</v>
      </c>
      <c r="C85" s="1" t="e">
        <f>IF(ISNUMBER(Table1[[#This Row],[TX EIRP (dBm)]]),Table1[[#This Row],[TX EIRP (dBm)]],#N/A)</f>
        <v>#N/A</v>
      </c>
      <c r="D85" s="1">
        <f>Table1[[#This Row],[TX Pdc (W)]]</f>
        <v>1.232</v>
      </c>
      <c r="E85" s="1">
        <f>IF(ISNUMBER(Table1[[#This Row],[Array Aperture Size (cm2)]]),Table1[[#This Row],[Array Aperture Size (cm2)]],IF(Table1[[#This Row],[Antenna on (None, Chip, AiP, PCB)]]="Chip",Table1[[#This Row],[Chip Core Size - X (mm)]]*Table1[[#This Row],[Chip Core Size -Y (mm)]]/100*Table1[[#This Row],['# of IC per Tile]]*Table1[[#This Row],['# of Array Tile]],#N/A))</f>
        <v>4.7300000000000009E-2</v>
      </c>
      <c r="F85" s="1" t="e">
        <f t="shared" si="2"/>
        <v>#N/A</v>
      </c>
      <c r="G85" s="1" t="e">
        <f t="shared" si="3"/>
        <v>#N/A</v>
      </c>
      <c r="L85" s="1" t="e">
        <f>IF(Table1[[#This Row],[Frequency (GHz)]]&lt;20,Plot_Data_Power!F85,#N/A)</f>
        <v>#N/A</v>
      </c>
      <c r="M85" s="1" t="e">
        <f>IF(AND(Table1[[#This Row],[Frequency (GHz)]]&gt;=20,Table1[[#This Row],[Frequency (GHz)]]&lt;50),Plot_Data_Power!F85,#N/A)</f>
        <v>#N/A</v>
      </c>
      <c r="N85" s="1" t="e">
        <f>IF(AND(Table1[[#This Row],[Frequency (GHz)]]&gt;=50,Table1[[#This Row],[Frequency (GHz)]]&lt;75),Plot_Data_Power!F85,#N/A)</f>
        <v>#N/A</v>
      </c>
      <c r="O85" s="1" t="e">
        <f>IF(AND(Table1[[#This Row],[Frequency (GHz)]]&gt;=75,Table1[[#This Row],[Frequency (GHz)]]&lt;110),Plot_Data_Power!F85,#N/A)</f>
        <v>#N/A</v>
      </c>
      <c r="P85" s="1" t="e">
        <f>IF(AND(Table1[[#This Row],[Frequency (GHz)]]&gt;=110,Table1[[#This Row],[Frequency (GHz)]]&lt;170),Plot_Data_Power!F85,#N/A)</f>
        <v>#N/A</v>
      </c>
      <c r="Q85" s="1" t="e">
        <f>IF(AND(Table1[[#This Row],[Frequency (GHz)]]&gt;=170,Table1[[#This Row],[Frequency (GHz)]]&lt;260),Plot_Data_Power!F85,#N/A)</f>
        <v>#N/A</v>
      </c>
      <c r="R85" s="1" t="e">
        <f>IF(Table1[[#This Row],[Frequency (GHz)]]&gt;=260,Plot_Data_Power!F85,#N/A)</f>
        <v>#N/A</v>
      </c>
      <c r="U85" s="1" t="e">
        <f>IF(Table1[[#This Row],[Frequency (GHz)]]&lt;20,Plot_Data_Power!G85,#N/A)</f>
        <v>#N/A</v>
      </c>
      <c r="V85" s="1" t="e">
        <f>IF(AND(Table1[[#This Row],[Frequency (GHz)]]&gt;=20,Table1[[#This Row],[Frequency (GHz)]]&lt;50),Plot_Data_Power!G85,#N/A)</f>
        <v>#N/A</v>
      </c>
      <c r="W85" s="1" t="e">
        <f>IF(AND(Table1[[#This Row],[Frequency (GHz)]]&gt;=50,Table1[[#This Row],[Frequency (GHz)]]&lt;75),Plot_Data_Power!G85,#N/A)</f>
        <v>#N/A</v>
      </c>
      <c r="X85" s="1" t="e">
        <f>IF(AND(Table1[[#This Row],[Frequency (GHz)]]&gt;=75,Table1[[#This Row],[Frequency (GHz)]]&lt;110),Plot_Data_Power!G85,#N/A)</f>
        <v>#N/A</v>
      </c>
      <c r="Y85" s="1" t="e">
        <f>IF(AND(Table1[[#This Row],[Frequency (GHz)]]&gt;=110,Table1[[#This Row],[Frequency (GHz)]]&lt;170),Plot_Data_Power!G85,#N/A)</f>
        <v>#N/A</v>
      </c>
      <c r="Z85" s="1" t="e">
        <f>IF(AND(Table1[[#This Row],[Frequency (GHz)]]&gt;=170,Table1[[#This Row],[Frequency (GHz)]]&lt;260),Plot_Data_Power!G85,#N/A)</f>
        <v>#N/A</v>
      </c>
      <c r="AA85" s="1" t="e">
        <f>IF(Table1[[#This Row],[Frequency (GHz)]]&gt;=260,Plot_Data_Power!G85,#N/A)</f>
        <v>#N/A</v>
      </c>
      <c r="AD85" s="1">
        <f>IF(ISNUMBER(Table1[[#This Row],[Max Package Thermal Density (W/cm2)]]),Table1[[#This Row],[Max Package Thermal Density (W/cm2)]],#N/A)</f>
        <v>28.076109936575047</v>
      </c>
      <c r="AE85" s="1" t="e">
        <f>IF(AND(ISNUMBER((Table1[[#This Row],[Max Package Thermal Density (W/cm2)]])),Table1[[#This Row],[Frequency (GHz)]]&lt;20),Table1[[#This Row],[Max Package Thermal Density (W/cm2)]],#N/A)</f>
        <v>#N/A</v>
      </c>
      <c r="AF85" s="1" t="e">
        <f>IF(AND(ISNUMBER(Table1[[#This Row],[Max Package Thermal Density (W/cm2)]]),Table1[[#This Row],[Frequency (GHz)]]&gt;=20,Table1[[#This Row],[Frequency (GHz)]]&lt;50),Table1[[#This Row],[Max Package Thermal Density (W/cm2)]],#N/A)</f>
        <v>#N/A</v>
      </c>
      <c r="AG85" s="1" t="e">
        <f>IF(AND(ISNUMBER(Table1[[#This Row],[Max Package Thermal Density (W/cm2)]]),Table1[[#This Row],[Frequency (GHz)]]&gt;=50,Table1[[#This Row],[Frequency (GHz)]]&lt;75),Table1[[#This Row],[Max Package Thermal Density (W/cm2)]],#N/A)</f>
        <v>#N/A</v>
      </c>
      <c r="AH85" s="1" t="e">
        <f>IF(AND(ISNUMBER(Table1[[#This Row],[Max Package Thermal Density (W/cm2)]]),Table1[[#This Row],[Frequency (GHz)]]&gt;=75,Table1[[#This Row],[Frequency (GHz)]]&lt;110),Table1[[#This Row],[Max Package Thermal Density (W/cm2)]],#N/A)</f>
        <v>#N/A</v>
      </c>
      <c r="AI85" s="1" t="e">
        <f>IF(AND(ISNUMBER(Table1[[#This Row],[Max Package Thermal Density (W/cm2)]]),Table1[[#This Row],[Frequency (GHz)]]&gt;=110,Table1[[#This Row],[Frequency (GHz)]]&lt;170),Table1[[#This Row],[Max Package Thermal Density (W/cm2)]],#N/A)</f>
        <v>#N/A</v>
      </c>
      <c r="AJ85" s="1" t="e">
        <f>IF(AND(ISNUMBER(Table1[[#This Row],[Max Package Thermal Density (W/cm2)]]),Table1[[#This Row],[Frequency (GHz)]]&gt;=170,Table1[[#This Row],[Frequency (GHz)]]&lt;260),Table1[[#This Row],[Max Package Thermal Density (W/cm2)]],#N/A)</f>
        <v>#N/A</v>
      </c>
      <c r="AK85" s="1">
        <f>IF(AND(ISNUMBER(Table1[[#This Row],[Max Package Thermal Density (W/cm2)]]),Table1[[#This Row],[Frequency (GHz)]]&gt;=260),Table1[[#This Row],[Max Package Thermal Density (W/cm2)]],#N/A)</f>
        <v>28.076109936575047</v>
      </c>
      <c r="AN85" s="1">
        <f>IF(ISNUMBER(Table1[[#This Row],[Max Chip Thermal Density (W/cm2)]]),Table1[[#This Row],[Max Chip Thermal Density (W/cm2)]],#N/A)</f>
        <v>24.322344322344318</v>
      </c>
      <c r="AO85" s="1" t="e">
        <f>IF(AND(ISNUMBER((Table1[[#This Row],[Max Chip Thermal Density (W/cm2)]])),Table1[[#This Row],[Frequency (GHz)]]&lt;20),Table1[[#This Row],[Max Chip Thermal Density (W/cm2)]],#N/A)</f>
        <v>#N/A</v>
      </c>
      <c r="AP85" s="1" t="e">
        <f>IF(AND(ISNUMBER(Table1[[#This Row],[Max Chip Thermal Density (W/cm2)]]),Table1[[#This Row],[Frequency (GHz)]]&gt;=20,Table1[[#This Row],[Frequency (GHz)]]&lt;50),Table1[[#This Row],[Max Chip Thermal Density (W/cm2)]],#N/A)</f>
        <v>#N/A</v>
      </c>
      <c r="AQ85" s="1" t="e">
        <f>IF(AND(ISNUMBER(Table1[[#This Row],[Max Chip Thermal Density (W/cm2)]]),Table1[[#This Row],[Frequency (GHz)]]&gt;=50,Table1[[#This Row],[Frequency (GHz)]]&lt;75),Table1[[#This Row],[Max Chip Thermal Density (W/cm2)]],#N/A)</f>
        <v>#N/A</v>
      </c>
      <c r="AR85" s="1" t="e">
        <f>IF(AND(ISNUMBER(Table1[[#This Row],[Max Chip Thermal Density (W/cm2)]]),Table1[[#This Row],[Frequency (GHz)]]&gt;=75,Table1[[#This Row],[Frequency (GHz)]]&lt;110),Table1[[#This Row],[Max Chip Thermal Density (W/cm2)]],#N/A)</f>
        <v>#N/A</v>
      </c>
      <c r="AS85" s="1" t="e">
        <f>IF(AND(ISNUMBER(Table1[[#This Row],[Max Chip Thermal Density (W/cm2)]]),Table1[[#This Row],[Frequency (GHz)]]&gt;=110,Table1[[#This Row],[Frequency (GHz)]]&lt;170),Table1[[#This Row],[Max Chip Thermal Density (W/cm2)]],#N/A)</f>
        <v>#N/A</v>
      </c>
      <c r="AT85" s="1" t="e">
        <f>IF(AND(ISNUMBER(Table1[[#This Row],[Max Chip Thermal Density (W/cm2)]]),Table1[[#This Row],[Frequency (GHz)]]&gt;=170,Table1[[#This Row],[Frequency (GHz)]]&lt;260),Table1[[#This Row],[Max Chip Thermal Density (W/cm2)]],#N/A)</f>
        <v>#N/A</v>
      </c>
      <c r="AU85" s="1">
        <f>IF(AND(ISNUMBER(Table1[[#This Row],[Max Chip Thermal Density (W/cm2)]]),Table1[[#This Row],[Frequency (GHz)]]&gt;=260),Table1[[#This Row],[Max Chip Thermal Density (W/cm2)]],#N/A)</f>
        <v>24.322344322344318</v>
      </c>
    </row>
    <row r="86" spans="1:47" x14ac:dyDescent="0.2">
      <c r="A86" s="25" t="e">
        <f>IF(ISNUMBER(Table1[[#This Row],[Total Pout/Prad (dBm)]]),Table1[[#This Row],[Total Pout/Prad (dBm)]],#N/A)</f>
        <v>#N/A</v>
      </c>
      <c r="B86" s="1" t="e">
        <f>IF(ISNUMBER(Table1[[#This Row],[Total Pout/Prad (dBm)]]),Table1[[#This Row],[Total '# of TX Elements]],#N/A)</f>
        <v>#N/A</v>
      </c>
      <c r="C86" s="1">
        <f>IF(ISNUMBER(Table1[[#This Row],[TX EIRP (dBm)]]),Table1[[#This Row],[TX EIRP (dBm)]],#N/A)</f>
        <v>-2</v>
      </c>
      <c r="D86" s="1">
        <f>Table1[[#This Row],[TX Pdc (W)]]</f>
        <v>9.5999999999999992E-4</v>
      </c>
      <c r="E86"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86" s="1" t="e">
        <f t="shared" si="2"/>
        <v>#N/A</v>
      </c>
      <c r="G86" s="1">
        <f t="shared" si="3"/>
        <v>65.724723383353464</v>
      </c>
      <c r="L86" s="1" t="e">
        <f>IF(Table1[[#This Row],[Frequency (GHz)]]&lt;20,Plot_Data_Power!F86,#N/A)</f>
        <v>#N/A</v>
      </c>
      <c r="M86" s="1" t="e">
        <f>IF(AND(Table1[[#This Row],[Frequency (GHz)]]&gt;=20,Table1[[#This Row],[Frequency (GHz)]]&lt;50),Plot_Data_Power!F86,#N/A)</f>
        <v>#N/A</v>
      </c>
      <c r="N86" s="1" t="e">
        <f>IF(AND(Table1[[#This Row],[Frequency (GHz)]]&gt;=50,Table1[[#This Row],[Frequency (GHz)]]&lt;75),Plot_Data_Power!F86,#N/A)</f>
        <v>#N/A</v>
      </c>
      <c r="O86" s="1" t="e">
        <f>IF(AND(Table1[[#This Row],[Frequency (GHz)]]&gt;=75,Table1[[#This Row],[Frequency (GHz)]]&lt;110),Plot_Data_Power!F86,#N/A)</f>
        <v>#N/A</v>
      </c>
      <c r="P86" s="1" t="e">
        <f>IF(AND(Table1[[#This Row],[Frequency (GHz)]]&gt;=110,Table1[[#This Row],[Frequency (GHz)]]&lt;170),Plot_Data_Power!F86,#N/A)</f>
        <v>#N/A</v>
      </c>
      <c r="Q86" s="1" t="e">
        <f>IF(AND(Table1[[#This Row],[Frequency (GHz)]]&gt;=170,Table1[[#This Row],[Frequency (GHz)]]&lt;260),Plot_Data_Power!F86,#N/A)</f>
        <v>#N/A</v>
      </c>
      <c r="R86" s="1" t="e">
        <f>IF(Table1[[#This Row],[Frequency (GHz)]]&gt;=260,Plot_Data_Power!F86,#N/A)</f>
        <v>#N/A</v>
      </c>
      <c r="U86" s="1" t="e">
        <f>IF(Table1[[#This Row],[Frequency (GHz)]]&lt;20,Plot_Data_Power!G86,#N/A)</f>
        <v>#N/A</v>
      </c>
      <c r="V86" s="1">
        <f>IF(AND(Table1[[#This Row],[Frequency (GHz)]]&gt;=20,Table1[[#This Row],[Frequency (GHz)]]&lt;50),Plot_Data_Power!G86,#N/A)</f>
        <v>65.724723383353464</v>
      </c>
      <c r="W86" s="1" t="e">
        <f>IF(AND(Table1[[#This Row],[Frequency (GHz)]]&gt;=50,Table1[[#This Row],[Frequency (GHz)]]&lt;75),Plot_Data_Power!G86,#N/A)</f>
        <v>#N/A</v>
      </c>
      <c r="X86" s="1" t="e">
        <f>IF(AND(Table1[[#This Row],[Frequency (GHz)]]&gt;=75,Table1[[#This Row],[Frequency (GHz)]]&lt;110),Plot_Data_Power!G86,#N/A)</f>
        <v>#N/A</v>
      </c>
      <c r="Y86" s="1" t="e">
        <f>IF(AND(Table1[[#This Row],[Frequency (GHz)]]&gt;=110,Table1[[#This Row],[Frequency (GHz)]]&lt;170),Plot_Data_Power!G86,#N/A)</f>
        <v>#N/A</v>
      </c>
      <c r="Z86" s="1" t="e">
        <f>IF(AND(Table1[[#This Row],[Frequency (GHz)]]&gt;=170,Table1[[#This Row],[Frequency (GHz)]]&lt;260),Plot_Data_Power!G86,#N/A)</f>
        <v>#N/A</v>
      </c>
      <c r="AA86" s="1" t="e">
        <f>IF(Table1[[#This Row],[Frequency (GHz)]]&gt;=260,Plot_Data_Power!G86,#N/A)</f>
        <v>#N/A</v>
      </c>
      <c r="AD86" s="1" t="e">
        <f>IF(ISNUMBER(Table1[[#This Row],[Max Package Thermal Density (W/cm2)]]),Table1[[#This Row],[Max Package Thermal Density (W/cm2)]],#N/A)</f>
        <v>#N/A</v>
      </c>
      <c r="AE86" s="1" t="e">
        <f>IF(AND(ISNUMBER((Table1[[#This Row],[Max Package Thermal Density (W/cm2)]])),Table1[[#This Row],[Frequency (GHz)]]&lt;20),Table1[[#This Row],[Max Package Thermal Density (W/cm2)]],#N/A)</f>
        <v>#N/A</v>
      </c>
      <c r="AF86" s="1" t="e">
        <f>IF(AND(ISNUMBER(Table1[[#This Row],[Max Package Thermal Density (W/cm2)]]),Table1[[#This Row],[Frequency (GHz)]]&gt;=20,Table1[[#This Row],[Frequency (GHz)]]&lt;50),Table1[[#This Row],[Max Package Thermal Density (W/cm2)]],#N/A)</f>
        <v>#N/A</v>
      </c>
      <c r="AG86" s="1" t="e">
        <f>IF(AND(ISNUMBER(Table1[[#This Row],[Max Package Thermal Density (W/cm2)]]),Table1[[#This Row],[Frequency (GHz)]]&gt;=50,Table1[[#This Row],[Frequency (GHz)]]&lt;75),Table1[[#This Row],[Max Package Thermal Density (W/cm2)]],#N/A)</f>
        <v>#N/A</v>
      </c>
      <c r="AH86" s="1" t="e">
        <f>IF(AND(ISNUMBER(Table1[[#This Row],[Max Package Thermal Density (W/cm2)]]),Table1[[#This Row],[Frequency (GHz)]]&gt;=75,Table1[[#This Row],[Frequency (GHz)]]&lt;110),Table1[[#This Row],[Max Package Thermal Density (W/cm2)]],#N/A)</f>
        <v>#N/A</v>
      </c>
      <c r="AI86" s="1" t="e">
        <f>IF(AND(ISNUMBER(Table1[[#This Row],[Max Package Thermal Density (W/cm2)]]),Table1[[#This Row],[Frequency (GHz)]]&gt;=110,Table1[[#This Row],[Frequency (GHz)]]&lt;170),Table1[[#This Row],[Max Package Thermal Density (W/cm2)]],#N/A)</f>
        <v>#N/A</v>
      </c>
      <c r="AJ86" s="1" t="e">
        <f>IF(AND(ISNUMBER(Table1[[#This Row],[Max Package Thermal Density (W/cm2)]]),Table1[[#This Row],[Frequency (GHz)]]&gt;=170,Table1[[#This Row],[Frequency (GHz)]]&lt;260),Table1[[#This Row],[Max Package Thermal Density (W/cm2)]],#N/A)</f>
        <v>#N/A</v>
      </c>
      <c r="AK86" s="1" t="e">
        <f>IF(AND(ISNUMBER(Table1[[#This Row],[Max Package Thermal Density (W/cm2)]]),Table1[[#This Row],[Frequency (GHz)]]&gt;=260),Table1[[#This Row],[Max Package Thermal Density (W/cm2)]],#N/A)</f>
        <v>#N/A</v>
      </c>
      <c r="AN86" s="1">
        <f>IF(ISNUMBER(Table1[[#This Row],[Max Chip Thermal Density (W/cm2)]]),Table1[[#This Row],[Max Chip Thermal Density (W/cm2)]],#N/A)</f>
        <v>1.3333333333333331E-2</v>
      </c>
      <c r="AO86" s="1" t="e">
        <f>IF(AND(ISNUMBER((Table1[[#This Row],[Max Chip Thermal Density (W/cm2)]])),Table1[[#This Row],[Frequency (GHz)]]&lt;20),Table1[[#This Row],[Max Chip Thermal Density (W/cm2)]],#N/A)</f>
        <v>#N/A</v>
      </c>
      <c r="AP86" s="1">
        <f>IF(AND(ISNUMBER(Table1[[#This Row],[Max Chip Thermal Density (W/cm2)]]),Table1[[#This Row],[Frequency (GHz)]]&gt;=20,Table1[[#This Row],[Frequency (GHz)]]&lt;50),Table1[[#This Row],[Max Chip Thermal Density (W/cm2)]],#N/A)</f>
        <v>1.3333333333333331E-2</v>
      </c>
      <c r="AQ86" s="1" t="e">
        <f>IF(AND(ISNUMBER(Table1[[#This Row],[Max Chip Thermal Density (W/cm2)]]),Table1[[#This Row],[Frequency (GHz)]]&gt;=50,Table1[[#This Row],[Frequency (GHz)]]&lt;75),Table1[[#This Row],[Max Chip Thermal Density (W/cm2)]],#N/A)</f>
        <v>#N/A</v>
      </c>
      <c r="AR86" s="1" t="e">
        <f>IF(AND(ISNUMBER(Table1[[#This Row],[Max Chip Thermal Density (W/cm2)]]),Table1[[#This Row],[Frequency (GHz)]]&gt;=75,Table1[[#This Row],[Frequency (GHz)]]&lt;110),Table1[[#This Row],[Max Chip Thermal Density (W/cm2)]],#N/A)</f>
        <v>#N/A</v>
      </c>
      <c r="AS86" s="1" t="e">
        <f>IF(AND(ISNUMBER(Table1[[#This Row],[Max Chip Thermal Density (W/cm2)]]),Table1[[#This Row],[Frequency (GHz)]]&gt;=110,Table1[[#This Row],[Frequency (GHz)]]&lt;170),Table1[[#This Row],[Max Chip Thermal Density (W/cm2)]],#N/A)</f>
        <v>#N/A</v>
      </c>
      <c r="AT86" s="1" t="e">
        <f>IF(AND(ISNUMBER(Table1[[#This Row],[Max Chip Thermal Density (W/cm2)]]),Table1[[#This Row],[Frequency (GHz)]]&gt;=170,Table1[[#This Row],[Frequency (GHz)]]&lt;260),Table1[[#This Row],[Max Chip Thermal Density (W/cm2)]],#N/A)</f>
        <v>#N/A</v>
      </c>
      <c r="AU86" s="1" t="e">
        <f>IF(AND(ISNUMBER(Table1[[#This Row],[Max Chip Thermal Density (W/cm2)]]),Table1[[#This Row],[Frequency (GHz)]]&gt;=260),Table1[[#This Row],[Max Chip Thermal Density (W/cm2)]],#N/A)</f>
        <v>#N/A</v>
      </c>
    </row>
    <row r="87" spans="1:47" x14ac:dyDescent="0.2">
      <c r="A87" s="25" t="e">
        <f>IF(ISNUMBER(Table1[[#This Row],[Total Pout/Prad (dBm)]]),Table1[[#This Row],[Total Pout/Prad (dBm)]],#N/A)</f>
        <v>#N/A</v>
      </c>
      <c r="B87" s="1" t="e">
        <f>IF(ISNUMBER(Table1[[#This Row],[Total Pout/Prad (dBm)]]),Table1[[#This Row],[Total '# of TX Elements]],#N/A)</f>
        <v>#N/A</v>
      </c>
      <c r="C87" s="1" t="e">
        <f>IF(ISNUMBER(Table1[[#This Row],[TX EIRP (dBm)]]),Table1[[#This Row],[TX EIRP (dBm)]],#N/A)</f>
        <v>#N/A</v>
      </c>
      <c r="D87" s="1" t="str">
        <f>Table1[[#This Row],[TX Pdc (W)]]</f>
        <v>N/A</v>
      </c>
      <c r="E87" s="1">
        <f>IF(ISNUMBER(Table1[[#This Row],[Array Aperture Size (cm2)]]),Table1[[#This Row],[Array Aperture Size (cm2)]],IF(Table1[[#This Row],[Antenna on (None, Chip, AiP, PCB)]]="Chip",Table1[[#This Row],[Chip Core Size - X (mm)]]*Table1[[#This Row],[Chip Core Size -Y (mm)]]/100*Table1[[#This Row],['# of IC per Tile]]*Table1[[#This Row],['# of Array Tile]],#N/A))</f>
        <v>2.25</v>
      </c>
      <c r="F87" s="1" t="e">
        <f t="shared" si="2"/>
        <v>#N/A</v>
      </c>
      <c r="G87" s="1" t="e">
        <f t="shared" si="3"/>
        <v>#N/A</v>
      </c>
      <c r="L87" s="1" t="e">
        <f>IF(Table1[[#This Row],[Frequency (GHz)]]&lt;20,Plot_Data_Power!F87,#N/A)</f>
        <v>#N/A</v>
      </c>
      <c r="M87" s="1" t="e">
        <f>IF(AND(Table1[[#This Row],[Frequency (GHz)]]&gt;=20,Table1[[#This Row],[Frequency (GHz)]]&lt;50),Plot_Data_Power!F87,#N/A)</f>
        <v>#N/A</v>
      </c>
      <c r="N87" s="1" t="e">
        <f>IF(AND(Table1[[#This Row],[Frequency (GHz)]]&gt;=50,Table1[[#This Row],[Frequency (GHz)]]&lt;75),Plot_Data_Power!F87,#N/A)</f>
        <v>#N/A</v>
      </c>
      <c r="O87" s="1" t="e">
        <f>IF(AND(Table1[[#This Row],[Frequency (GHz)]]&gt;=75,Table1[[#This Row],[Frequency (GHz)]]&lt;110),Plot_Data_Power!F87,#N/A)</f>
        <v>#N/A</v>
      </c>
      <c r="P87" s="1" t="e">
        <f>IF(AND(Table1[[#This Row],[Frequency (GHz)]]&gt;=110,Table1[[#This Row],[Frequency (GHz)]]&lt;170),Plot_Data_Power!F87,#N/A)</f>
        <v>#N/A</v>
      </c>
      <c r="Q87" s="1" t="e">
        <f>IF(AND(Table1[[#This Row],[Frequency (GHz)]]&gt;=170,Table1[[#This Row],[Frequency (GHz)]]&lt;260),Plot_Data_Power!F87,#N/A)</f>
        <v>#N/A</v>
      </c>
      <c r="R87" s="1" t="e">
        <f>IF(Table1[[#This Row],[Frequency (GHz)]]&gt;=260,Plot_Data_Power!F87,#N/A)</f>
        <v>#N/A</v>
      </c>
      <c r="U87" s="1" t="e">
        <f>IF(Table1[[#This Row],[Frequency (GHz)]]&lt;20,Plot_Data_Power!G87,#N/A)</f>
        <v>#N/A</v>
      </c>
      <c r="V87" s="1" t="e">
        <f>IF(AND(Table1[[#This Row],[Frequency (GHz)]]&gt;=20,Table1[[#This Row],[Frequency (GHz)]]&lt;50),Plot_Data_Power!G87,#N/A)</f>
        <v>#N/A</v>
      </c>
      <c r="W87" s="1" t="e">
        <f>IF(AND(Table1[[#This Row],[Frequency (GHz)]]&gt;=50,Table1[[#This Row],[Frequency (GHz)]]&lt;75),Plot_Data_Power!G87,#N/A)</f>
        <v>#N/A</v>
      </c>
      <c r="X87" s="1" t="e">
        <f>IF(AND(Table1[[#This Row],[Frequency (GHz)]]&gt;=75,Table1[[#This Row],[Frequency (GHz)]]&lt;110),Plot_Data_Power!G87,#N/A)</f>
        <v>#N/A</v>
      </c>
      <c r="Y87" s="1" t="e">
        <f>IF(AND(Table1[[#This Row],[Frequency (GHz)]]&gt;=110,Table1[[#This Row],[Frequency (GHz)]]&lt;170),Plot_Data_Power!G87,#N/A)</f>
        <v>#N/A</v>
      </c>
      <c r="Z87" s="1" t="e">
        <f>IF(AND(Table1[[#This Row],[Frequency (GHz)]]&gt;=170,Table1[[#This Row],[Frequency (GHz)]]&lt;260),Plot_Data_Power!G87,#N/A)</f>
        <v>#N/A</v>
      </c>
      <c r="AA87" s="1" t="e">
        <f>IF(Table1[[#This Row],[Frequency (GHz)]]&gt;=260,Plot_Data_Power!G87,#N/A)</f>
        <v>#N/A</v>
      </c>
      <c r="AD87" s="1">
        <f>IF(ISNUMBER(Table1[[#This Row],[Max Package Thermal Density (W/cm2)]]),Table1[[#This Row],[Max Package Thermal Density (W/cm2)]],#N/A)</f>
        <v>0.86044444444444446</v>
      </c>
      <c r="AE87" s="1">
        <f>IF(AND(ISNUMBER((Table1[[#This Row],[Max Package Thermal Density (W/cm2)]])),Table1[[#This Row],[Frequency (GHz)]]&lt;20),Table1[[#This Row],[Max Package Thermal Density (W/cm2)]],#N/A)</f>
        <v>0.86044444444444446</v>
      </c>
      <c r="AF87" s="1" t="e">
        <f>IF(AND(ISNUMBER(Table1[[#This Row],[Max Package Thermal Density (W/cm2)]]),Table1[[#This Row],[Frequency (GHz)]]&gt;=20,Table1[[#This Row],[Frequency (GHz)]]&lt;50),Table1[[#This Row],[Max Package Thermal Density (W/cm2)]],#N/A)</f>
        <v>#N/A</v>
      </c>
      <c r="AG87" s="1" t="e">
        <f>IF(AND(ISNUMBER(Table1[[#This Row],[Max Package Thermal Density (W/cm2)]]),Table1[[#This Row],[Frequency (GHz)]]&gt;=50,Table1[[#This Row],[Frequency (GHz)]]&lt;75),Table1[[#This Row],[Max Package Thermal Density (W/cm2)]],#N/A)</f>
        <v>#N/A</v>
      </c>
      <c r="AH87" s="1" t="e">
        <f>IF(AND(ISNUMBER(Table1[[#This Row],[Max Package Thermal Density (W/cm2)]]),Table1[[#This Row],[Frequency (GHz)]]&gt;=75,Table1[[#This Row],[Frequency (GHz)]]&lt;110),Table1[[#This Row],[Max Package Thermal Density (W/cm2)]],#N/A)</f>
        <v>#N/A</v>
      </c>
      <c r="AI87" s="1" t="e">
        <f>IF(AND(ISNUMBER(Table1[[#This Row],[Max Package Thermal Density (W/cm2)]]),Table1[[#This Row],[Frequency (GHz)]]&gt;=110,Table1[[#This Row],[Frequency (GHz)]]&lt;170),Table1[[#This Row],[Max Package Thermal Density (W/cm2)]],#N/A)</f>
        <v>#N/A</v>
      </c>
      <c r="AJ87" s="1" t="e">
        <f>IF(AND(ISNUMBER(Table1[[#This Row],[Max Package Thermal Density (W/cm2)]]),Table1[[#This Row],[Frequency (GHz)]]&gt;=170,Table1[[#This Row],[Frequency (GHz)]]&lt;260),Table1[[#This Row],[Max Package Thermal Density (W/cm2)]],#N/A)</f>
        <v>#N/A</v>
      </c>
      <c r="AK87" s="1" t="e">
        <f>IF(AND(ISNUMBER(Table1[[#This Row],[Max Package Thermal Density (W/cm2)]]),Table1[[#This Row],[Frequency (GHz)]]&gt;=260),Table1[[#This Row],[Max Package Thermal Density (W/cm2)]],#N/A)</f>
        <v>#N/A</v>
      </c>
      <c r="AN87" s="1">
        <f>IF(ISNUMBER(Table1[[#This Row],[Max Chip Thermal Density (W/cm2)]]),Table1[[#This Row],[Max Chip Thermal Density (W/cm2)]],#N/A)</f>
        <v>8.8583848089681965</v>
      </c>
      <c r="AO87" s="1">
        <f>IF(AND(ISNUMBER((Table1[[#This Row],[Max Chip Thermal Density (W/cm2)]])),Table1[[#This Row],[Frequency (GHz)]]&lt;20),Table1[[#This Row],[Max Chip Thermal Density (W/cm2)]],#N/A)</f>
        <v>8.8583848089681965</v>
      </c>
      <c r="AP87" s="1" t="e">
        <f>IF(AND(ISNUMBER(Table1[[#This Row],[Max Chip Thermal Density (W/cm2)]]),Table1[[#This Row],[Frequency (GHz)]]&gt;=20,Table1[[#This Row],[Frequency (GHz)]]&lt;50),Table1[[#This Row],[Max Chip Thermal Density (W/cm2)]],#N/A)</f>
        <v>#N/A</v>
      </c>
      <c r="AQ87" s="1" t="e">
        <f>IF(AND(ISNUMBER(Table1[[#This Row],[Max Chip Thermal Density (W/cm2)]]),Table1[[#This Row],[Frequency (GHz)]]&gt;=50,Table1[[#This Row],[Frequency (GHz)]]&lt;75),Table1[[#This Row],[Max Chip Thermal Density (W/cm2)]],#N/A)</f>
        <v>#N/A</v>
      </c>
      <c r="AR87" s="1" t="e">
        <f>IF(AND(ISNUMBER(Table1[[#This Row],[Max Chip Thermal Density (W/cm2)]]),Table1[[#This Row],[Frequency (GHz)]]&gt;=75,Table1[[#This Row],[Frequency (GHz)]]&lt;110),Table1[[#This Row],[Max Chip Thermal Density (W/cm2)]],#N/A)</f>
        <v>#N/A</v>
      </c>
      <c r="AS87" s="1" t="e">
        <f>IF(AND(ISNUMBER(Table1[[#This Row],[Max Chip Thermal Density (W/cm2)]]),Table1[[#This Row],[Frequency (GHz)]]&gt;=110,Table1[[#This Row],[Frequency (GHz)]]&lt;170),Table1[[#This Row],[Max Chip Thermal Density (W/cm2)]],#N/A)</f>
        <v>#N/A</v>
      </c>
      <c r="AT87" s="1" t="e">
        <f>IF(AND(ISNUMBER(Table1[[#This Row],[Max Chip Thermal Density (W/cm2)]]),Table1[[#This Row],[Frequency (GHz)]]&gt;=170,Table1[[#This Row],[Frequency (GHz)]]&lt;260),Table1[[#This Row],[Max Chip Thermal Density (W/cm2)]],#N/A)</f>
        <v>#N/A</v>
      </c>
      <c r="AU87" s="1" t="e">
        <f>IF(AND(ISNUMBER(Table1[[#This Row],[Max Chip Thermal Density (W/cm2)]]),Table1[[#This Row],[Frequency (GHz)]]&gt;=260),Table1[[#This Row],[Max Chip Thermal Density (W/cm2)]],#N/A)</f>
        <v>#N/A</v>
      </c>
    </row>
    <row r="88" spans="1:47" x14ac:dyDescent="0.2">
      <c r="A88" s="25" t="e">
        <f>IF(ISNUMBER(Table1[[#This Row],[Total Pout/Prad (dBm)]]),Table1[[#This Row],[Total Pout/Prad (dBm)]],#N/A)</f>
        <v>#N/A</v>
      </c>
      <c r="B88" s="1" t="e">
        <f>IF(ISNUMBER(Table1[[#This Row],[Total Pout/Prad (dBm)]]),Table1[[#This Row],[Total '# of TX Elements]],#N/A)</f>
        <v>#N/A</v>
      </c>
      <c r="C88" s="1" t="e">
        <f>IF(ISNUMBER(Table1[[#This Row],[TX EIRP (dBm)]]),Table1[[#This Row],[TX EIRP (dBm)]],#N/A)</f>
        <v>#N/A</v>
      </c>
      <c r="D88" s="1" t="str">
        <f>Table1[[#This Row],[TX Pdc (W)]]</f>
        <v>N/A</v>
      </c>
      <c r="E88" s="1">
        <f>IF(ISNUMBER(Table1[[#This Row],[Array Aperture Size (cm2)]]),Table1[[#This Row],[Array Aperture Size (cm2)]],IF(Table1[[#This Row],[Antenna on (None, Chip, AiP, PCB)]]="Chip",Table1[[#This Row],[Chip Core Size - X (mm)]]*Table1[[#This Row],[Chip Core Size -Y (mm)]]/100*Table1[[#This Row],['# of IC per Tile]]*Table1[[#This Row],['# of Array Tile]],#N/A))</f>
        <v>2.25</v>
      </c>
      <c r="F88" s="1" t="e">
        <f t="shared" si="2"/>
        <v>#N/A</v>
      </c>
      <c r="G88" s="1" t="e">
        <f t="shared" si="3"/>
        <v>#N/A</v>
      </c>
      <c r="L88" s="1" t="e">
        <f>IF(Table1[[#This Row],[Frequency (GHz)]]&lt;20,Plot_Data_Power!F88,#N/A)</f>
        <v>#N/A</v>
      </c>
      <c r="M88" s="1" t="e">
        <f>IF(AND(Table1[[#This Row],[Frequency (GHz)]]&gt;=20,Table1[[#This Row],[Frequency (GHz)]]&lt;50),Plot_Data_Power!F88,#N/A)</f>
        <v>#N/A</v>
      </c>
      <c r="N88" s="1" t="e">
        <f>IF(AND(Table1[[#This Row],[Frequency (GHz)]]&gt;=50,Table1[[#This Row],[Frequency (GHz)]]&lt;75),Plot_Data_Power!F88,#N/A)</f>
        <v>#N/A</v>
      </c>
      <c r="O88" s="1" t="e">
        <f>IF(AND(Table1[[#This Row],[Frequency (GHz)]]&gt;=75,Table1[[#This Row],[Frequency (GHz)]]&lt;110),Plot_Data_Power!F88,#N/A)</f>
        <v>#N/A</v>
      </c>
      <c r="P88" s="1" t="e">
        <f>IF(AND(Table1[[#This Row],[Frequency (GHz)]]&gt;=110,Table1[[#This Row],[Frequency (GHz)]]&lt;170),Plot_Data_Power!F88,#N/A)</f>
        <v>#N/A</v>
      </c>
      <c r="Q88" s="1" t="e">
        <f>IF(AND(Table1[[#This Row],[Frequency (GHz)]]&gt;=170,Table1[[#This Row],[Frequency (GHz)]]&lt;260),Plot_Data_Power!F88,#N/A)</f>
        <v>#N/A</v>
      </c>
      <c r="R88" s="1" t="e">
        <f>IF(Table1[[#This Row],[Frequency (GHz)]]&gt;=260,Plot_Data_Power!F88,#N/A)</f>
        <v>#N/A</v>
      </c>
      <c r="U88" s="1" t="e">
        <f>IF(Table1[[#This Row],[Frequency (GHz)]]&lt;20,Plot_Data_Power!G88,#N/A)</f>
        <v>#N/A</v>
      </c>
      <c r="V88" s="1" t="e">
        <f>IF(AND(Table1[[#This Row],[Frequency (GHz)]]&gt;=20,Table1[[#This Row],[Frequency (GHz)]]&lt;50),Plot_Data_Power!G88,#N/A)</f>
        <v>#N/A</v>
      </c>
      <c r="W88" s="1" t="e">
        <f>IF(AND(Table1[[#This Row],[Frequency (GHz)]]&gt;=50,Table1[[#This Row],[Frequency (GHz)]]&lt;75),Plot_Data_Power!G88,#N/A)</f>
        <v>#N/A</v>
      </c>
      <c r="X88" s="1" t="e">
        <f>IF(AND(Table1[[#This Row],[Frequency (GHz)]]&gt;=75,Table1[[#This Row],[Frequency (GHz)]]&lt;110),Plot_Data_Power!G88,#N/A)</f>
        <v>#N/A</v>
      </c>
      <c r="Y88" s="1" t="e">
        <f>IF(AND(Table1[[#This Row],[Frequency (GHz)]]&gt;=110,Table1[[#This Row],[Frequency (GHz)]]&lt;170),Plot_Data_Power!G88,#N/A)</f>
        <v>#N/A</v>
      </c>
      <c r="Z88" s="1" t="e">
        <f>IF(AND(Table1[[#This Row],[Frequency (GHz)]]&gt;=170,Table1[[#This Row],[Frequency (GHz)]]&lt;260),Plot_Data_Power!G88,#N/A)</f>
        <v>#N/A</v>
      </c>
      <c r="AA88" s="1" t="e">
        <f>IF(Table1[[#This Row],[Frequency (GHz)]]&gt;=260,Plot_Data_Power!G88,#N/A)</f>
        <v>#N/A</v>
      </c>
      <c r="AD88" s="1">
        <f>IF(ISNUMBER(Table1[[#This Row],[Max Package Thermal Density (W/cm2)]]),Table1[[#This Row],[Max Package Thermal Density (W/cm2)]],#N/A)</f>
        <v>0.64</v>
      </c>
      <c r="AE88" s="1" t="e">
        <f>IF(AND(ISNUMBER((Table1[[#This Row],[Max Package Thermal Density (W/cm2)]])),Table1[[#This Row],[Frequency (GHz)]]&lt;20),Table1[[#This Row],[Max Package Thermal Density (W/cm2)]],#N/A)</f>
        <v>#N/A</v>
      </c>
      <c r="AF88" s="1" t="e">
        <f>IF(AND(ISNUMBER(Table1[[#This Row],[Max Package Thermal Density (W/cm2)]]),Table1[[#This Row],[Frequency (GHz)]]&gt;=20,Table1[[#This Row],[Frequency (GHz)]]&lt;50),Table1[[#This Row],[Max Package Thermal Density (W/cm2)]],#N/A)</f>
        <v>#N/A</v>
      </c>
      <c r="AG88" s="1">
        <f>IF(AND(ISNUMBER(Table1[[#This Row],[Max Package Thermal Density (W/cm2)]]),Table1[[#This Row],[Frequency (GHz)]]&gt;=50,Table1[[#This Row],[Frequency (GHz)]]&lt;75),Table1[[#This Row],[Max Package Thermal Density (W/cm2)]],#N/A)</f>
        <v>0.64</v>
      </c>
      <c r="AH88" s="1" t="e">
        <f>IF(AND(ISNUMBER(Table1[[#This Row],[Max Package Thermal Density (W/cm2)]]),Table1[[#This Row],[Frequency (GHz)]]&gt;=75,Table1[[#This Row],[Frequency (GHz)]]&lt;110),Table1[[#This Row],[Max Package Thermal Density (W/cm2)]],#N/A)</f>
        <v>#N/A</v>
      </c>
      <c r="AI88" s="1" t="e">
        <f>IF(AND(ISNUMBER(Table1[[#This Row],[Max Package Thermal Density (W/cm2)]]),Table1[[#This Row],[Frequency (GHz)]]&gt;=110,Table1[[#This Row],[Frequency (GHz)]]&lt;170),Table1[[#This Row],[Max Package Thermal Density (W/cm2)]],#N/A)</f>
        <v>#N/A</v>
      </c>
      <c r="AJ88" s="1" t="e">
        <f>IF(AND(ISNUMBER(Table1[[#This Row],[Max Package Thermal Density (W/cm2)]]),Table1[[#This Row],[Frequency (GHz)]]&gt;=170,Table1[[#This Row],[Frequency (GHz)]]&lt;260),Table1[[#This Row],[Max Package Thermal Density (W/cm2)]],#N/A)</f>
        <v>#N/A</v>
      </c>
      <c r="AK88" s="1" t="e">
        <f>IF(AND(ISNUMBER(Table1[[#This Row],[Max Package Thermal Density (W/cm2)]]),Table1[[#This Row],[Frequency (GHz)]]&gt;=260),Table1[[#This Row],[Max Package Thermal Density (W/cm2)]],#N/A)</f>
        <v>#N/A</v>
      </c>
      <c r="AN88" s="1">
        <f>IF(ISNUMBER(Table1[[#This Row],[Max Chip Thermal Density (W/cm2)]]),Table1[[#This Row],[Max Chip Thermal Density (W/cm2)]],#N/A)</f>
        <v>6.5888812628689069</v>
      </c>
      <c r="AO88" s="1" t="e">
        <f>IF(AND(ISNUMBER((Table1[[#This Row],[Max Chip Thermal Density (W/cm2)]])),Table1[[#This Row],[Frequency (GHz)]]&lt;20),Table1[[#This Row],[Max Chip Thermal Density (W/cm2)]],#N/A)</f>
        <v>#N/A</v>
      </c>
      <c r="AP88" s="1" t="e">
        <f>IF(AND(ISNUMBER(Table1[[#This Row],[Max Chip Thermal Density (W/cm2)]]),Table1[[#This Row],[Frequency (GHz)]]&gt;=20,Table1[[#This Row],[Frequency (GHz)]]&lt;50),Table1[[#This Row],[Max Chip Thermal Density (W/cm2)]],#N/A)</f>
        <v>#N/A</v>
      </c>
      <c r="AQ88" s="1">
        <f>IF(AND(ISNUMBER(Table1[[#This Row],[Max Chip Thermal Density (W/cm2)]]),Table1[[#This Row],[Frequency (GHz)]]&gt;=50,Table1[[#This Row],[Frequency (GHz)]]&lt;75),Table1[[#This Row],[Max Chip Thermal Density (W/cm2)]],#N/A)</f>
        <v>6.5888812628689069</v>
      </c>
      <c r="AR88" s="1" t="e">
        <f>IF(AND(ISNUMBER(Table1[[#This Row],[Max Chip Thermal Density (W/cm2)]]),Table1[[#This Row],[Frequency (GHz)]]&gt;=75,Table1[[#This Row],[Frequency (GHz)]]&lt;110),Table1[[#This Row],[Max Chip Thermal Density (W/cm2)]],#N/A)</f>
        <v>#N/A</v>
      </c>
      <c r="AS88" s="1" t="e">
        <f>IF(AND(ISNUMBER(Table1[[#This Row],[Max Chip Thermal Density (W/cm2)]]),Table1[[#This Row],[Frequency (GHz)]]&gt;=110,Table1[[#This Row],[Frequency (GHz)]]&lt;170),Table1[[#This Row],[Max Chip Thermal Density (W/cm2)]],#N/A)</f>
        <v>#N/A</v>
      </c>
      <c r="AT88" s="1" t="e">
        <f>IF(AND(ISNUMBER(Table1[[#This Row],[Max Chip Thermal Density (W/cm2)]]),Table1[[#This Row],[Frequency (GHz)]]&gt;=170,Table1[[#This Row],[Frequency (GHz)]]&lt;260),Table1[[#This Row],[Max Chip Thermal Density (W/cm2)]],#N/A)</f>
        <v>#N/A</v>
      </c>
      <c r="AU88" s="1" t="e">
        <f>IF(AND(ISNUMBER(Table1[[#This Row],[Max Chip Thermal Density (W/cm2)]]),Table1[[#This Row],[Frequency (GHz)]]&gt;=260),Table1[[#This Row],[Max Chip Thermal Density (W/cm2)]],#N/A)</f>
        <v>#N/A</v>
      </c>
    </row>
    <row r="89" spans="1:47" x14ac:dyDescent="0.2">
      <c r="A89" s="25" t="e">
        <f>IF(ISNUMBER(Table1[[#This Row],[Total Pout/Prad (dBm)]]),Table1[[#This Row],[Total Pout/Prad (dBm)]],#N/A)</f>
        <v>#N/A</v>
      </c>
      <c r="B89" s="1" t="e">
        <f>IF(ISNUMBER(Table1[[#This Row],[Total Pout/Prad (dBm)]]),Table1[[#This Row],[Total '# of TX Elements]],#N/A)</f>
        <v>#N/A</v>
      </c>
      <c r="C89" s="1" t="e">
        <f>IF(ISNUMBER(Table1[[#This Row],[TX EIRP (dBm)]]),Table1[[#This Row],[TX EIRP (dBm)]],#N/A)</f>
        <v>#N/A</v>
      </c>
      <c r="D89" s="1" t="str">
        <f>Table1[[#This Row],[TX Pdc (W)]]</f>
        <v>N/A</v>
      </c>
      <c r="E89" s="1">
        <f>IF(ISNUMBER(Table1[[#This Row],[Array Aperture Size (cm2)]]),Table1[[#This Row],[Array Aperture Size (cm2)]],IF(Table1[[#This Row],[Antenna on (None, Chip, AiP, PCB)]]="Chip",Table1[[#This Row],[Chip Core Size - X (mm)]]*Table1[[#This Row],[Chip Core Size -Y (mm)]]/100*Table1[[#This Row],['# of IC per Tile]]*Table1[[#This Row],['# of Array Tile]],#N/A))</f>
        <v>3.2768000000000002</v>
      </c>
      <c r="F89" s="1" t="e">
        <f t="shared" si="2"/>
        <v>#N/A</v>
      </c>
      <c r="G89" s="1" t="e">
        <f t="shared" si="3"/>
        <v>#N/A</v>
      </c>
      <c r="L89" s="1" t="e">
        <f>IF(Table1[[#This Row],[Frequency (GHz)]]&lt;20,Plot_Data_Power!F89,#N/A)</f>
        <v>#N/A</v>
      </c>
      <c r="M89" s="1" t="e">
        <f>IF(AND(Table1[[#This Row],[Frequency (GHz)]]&gt;=20,Table1[[#This Row],[Frequency (GHz)]]&lt;50),Plot_Data_Power!F89,#N/A)</f>
        <v>#N/A</v>
      </c>
      <c r="N89" s="1" t="e">
        <f>IF(AND(Table1[[#This Row],[Frequency (GHz)]]&gt;=50,Table1[[#This Row],[Frequency (GHz)]]&lt;75),Plot_Data_Power!F89,#N/A)</f>
        <v>#N/A</v>
      </c>
      <c r="O89" s="1" t="e">
        <f>IF(AND(Table1[[#This Row],[Frequency (GHz)]]&gt;=75,Table1[[#This Row],[Frequency (GHz)]]&lt;110),Plot_Data_Power!F89,#N/A)</f>
        <v>#N/A</v>
      </c>
      <c r="P89" s="1" t="e">
        <f>IF(AND(Table1[[#This Row],[Frequency (GHz)]]&gt;=110,Table1[[#This Row],[Frequency (GHz)]]&lt;170),Plot_Data_Power!F89,#N/A)</f>
        <v>#N/A</v>
      </c>
      <c r="Q89" s="1" t="e">
        <f>IF(AND(Table1[[#This Row],[Frequency (GHz)]]&gt;=170,Table1[[#This Row],[Frequency (GHz)]]&lt;260),Plot_Data_Power!F89,#N/A)</f>
        <v>#N/A</v>
      </c>
      <c r="R89" s="1" t="e">
        <f>IF(Table1[[#This Row],[Frequency (GHz)]]&gt;=260,Plot_Data_Power!F89,#N/A)</f>
        <v>#N/A</v>
      </c>
      <c r="U89" s="1" t="e">
        <f>IF(Table1[[#This Row],[Frequency (GHz)]]&lt;20,Plot_Data_Power!G89,#N/A)</f>
        <v>#N/A</v>
      </c>
      <c r="V89" s="1" t="e">
        <f>IF(AND(Table1[[#This Row],[Frequency (GHz)]]&gt;=20,Table1[[#This Row],[Frequency (GHz)]]&lt;50),Plot_Data_Power!G89,#N/A)</f>
        <v>#N/A</v>
      </c>
      <c r="W89" s="1" t="e">
        <f>IF(AND(Table1[[#This Row],[Frequency (GHz)]]&gt;=50,Table1[[#This Row],[Frequency (GHz)]]&lt;75),Plot_Data_Power!G89,#N/A)</f>
        <v>#N/A</v>
      </c>
      <c r="X89" s="1" t="e">
        <f>IF(AND(Table1[[#This Row],[Frequency (GHz)]]&gt;=75,Table1[[#This Row],[Frequency (GHz)]]&lt;110),Plot_Data_Power!G89,#N/A)</f>
        <v>#N/A</v>
      </c>
      <c r="Y89" s="1" t="e">
        <f>IF(AND(Table1[[#This Row],[Frequency (GHz)]]&gt;=110,Table1[[#This Row],[Frequency (GHz)]]&lt;170),Plot_Data_Power!G89,#N/A)</f>
        <v>#N/A</v>
      </c>
      <c r="Z89" s="1" t="e">
        <f>IF(AND(Table1[[#This Row],[Frequency (GHz)]]&gt;=170,Table1[[#This Row],[Frequency (GHz)]]&lt;260),Plot_Data_Power!G89,#N/A)</f>
        <v>#N/A</v>
      </c>
      <c r="AA89" s="1" t="e">
        <f>IF(Table1[[#This Row],[Frequency (GHz)]]&gt;=260,Plot_Data_Power!G89,#N/A)</f>
        <v>#N/A</v>
      </c>
      <c r="AD89" s="1" t="e">
        <f>IF(ISNUMBER(Table1[[#This Row],[Max Package Thermal Density (W/cm2)]]),Table1[[#This Row],[Max Package Thermal Density (W/cm2)]],#N/A)</f>
        <v>#N/A</v>
      </c>
      <c r="AE89" s="1" t="e">
        <f>IF(AND(ISNUMBER((Table1[[#This Row],[Max Package Thermal Density (W/cm2)]])),Table1[[#This Row],[Frequency (GHz)]]&lt;20),Table1[[#This Row],[Max Package Thermal Density (W/cm2)]],#N/A)</f>
        <v>#N/A</v>
      </c>
      <c r="AF89" s="1" t="e">
        <f>IF(AND(ISNUMBER(Table1[[#This Row],[Max Package Thermal Density (W/cm2)]]),Table1[[#This Row],[Frequency (GHz)]]&gt;=20,Table1[[#This Row],[Frequency (GHz)]]&lt;50),Table1[[#This Row],[Max Package Thermal Density (W/cm2)]],#N/A)</f>
        <v>#N/A</v>
      </c>
      <c r="AG89" s="1" t="e">
        <f>IF(AND(ISNUMBER(Table1[[#This Row],[Max Package Thermal Density (W/cm2)]]),Table1[[#This Row],[Frequency (GHz)]]&gt;=50,Table1[[#This Row],[Frequency (GHz)]]&lt;75),Table1[[#This Row],[Max Package Thermal Density (W/cm2)]],#N/A)</f>
        <v>#N/A</v>
      </c>
      <c r="AH89" s="1" t="e">
        <f>IF(AND(ISNUMBER(Table1[[#This Row],[Max Package Thermal Density (W/cm2)]]),Table1[[#This Row],[Frequency (GHz)]]&gt;=75,Table1[[#This Row],[Frequency (GHz)]]&lt;110),Table1[[#This Row],[Max Package Thermal Density (W/cm2)]],#N/A)</f>
        <v>#N/A</v>
      </c>
      <c r="AI89" s="1" t="e">
        <f>IF(AND(ISNUMBER(Table1[[#This Row],[Max Package Thermal Density (W/cm2)]]),Table1[[#This Row],[Frequency (GHz)]]&gt;=110,Table1[[#This Row],[Frequency (GHz)]]&lt;170),Table1[[#This Row],[Max Package Thermal Density (W/cm2)]],#N/A)</f>
        <v>#N/A</v>
      </c>
      <c r="AJ89" s="1" t="e">
        <f>IF(AND(ISNUMBER(Table1[[#This Row],[Max Package Thermal Density (W/cm2)]]),Table1[[#This Row],[Frequency (GHz)]]&gt;=170,Table1[[#This Row],[Frequency (GHz)]]&lt;260),Table1[[#This Row],[Max Package Thermal Density (W/cm2)]],#N/A)</f>
        <v>#N/A</v>
      </c>
      <c r="AK89" s="1" t="e">
        <f>IF(AND(ISNUMBER(Table1[[#This Row],[Max Package Thermal Density (W/cm2)]]),Table1[[#This Row],[Frequency (GHz)]]&gt;=260),Table1[[#This Row],[Max Package Thermal Density (W/cm2)]],#N/A)</f>
        <v>#N/A</v>
      </c>
      <c r="AN89" s="1" t="e">
        <f>IF(ISNUMBER(Table1[[#This Row],[Max Chip Thermal Density (W/cm2)]]),Table1[[#This Row],[Max Chip Thermal Density (W/cm2)]],#N/A)</f>
        <v>#N/A</v>
      </c>
      <c r="AO89" s="1" t="e">
        <f>IF(AND(ISNUMBER((Table1[[#This Row],[Max Chip Thermal Density (W/cm2)]])),Table1[[#This Row],[Frequency (GHz)]]&lt;20),Table1[[#This Row],[Max Chip Thermal Density (W/cm2)]],#N/A)</f>
        <v>#N/A</v>
      </c>
      <c r="AP89" s="1" t="e">
        <f>IF(AND(ISNUMBER(Table1[[#This Row],[Max Chip Thermal Density (W/cm2)]]),Table1[[#This Row],[Frequency (GHz)]]&gt;=20,Table1[[#This Row],[Frequency (GHz)]]&lt;50),Table1[[#This Row],[Max Chip Thermal Density (W/cm2)]],#N/A)</f>
        <v>#N/A</v>
      </c>
      <c r="AQ89" s="1" t="e">
        <f>IF(AND(ISNUMBER(Table1[[#This Row],[Max Chip Thermal Density (W/cm2)]]),Table1[[#This Row],[Frequency (GHz)]]&gt;=50,Table1[[#This Row],[Frequency (GHz)]]&lt;75),Table1[[#This Row],[Max Chip Thermal Density (W/cm2)]],#N/A)</f>
        <v>#N/A</v>
      </c>
      <c r="AR89" s="1" t="e">
        <f>IF(AND(ISNUMBER(Table1[[#This Row],[Max Chip Thermal Density (W/cm2)]]),Table1[[#This Row],[Frequency (GHz)]]&gt;=75,Table1[[#This Row],[Frequency (GHz)]]&lt;110),Table1[[#This Row],[Max Chip Thermal Density (W/cm2)]],#N/A)</f>
        <v>#N/A</v>
      </c>
      <c r="AS89" s="1" t="e">
        <f>IF(AND(ISNUMBER(Table1[[#This Row],[Max Chip Thermal Density (W/cm2)]]),Table1[[#This Row],[Frequency (GHz)]]&gt;=110,Table1[[#This Row],[Frequency (GHz)]]&lt;170),Table1[[#This Row],[Max Chip Thermal Density (W/cm2)]],#N/A)</f>
        <v>#N/A</v>
      </c>
      <c r="AT89" s="1" t="e">
        <f>IF(AND(ISNUMBER(Table1[[#This Row],[Max Chip Thermal Density (W/cm2)]]),Table1[[#This Row],[Frequency (GHz)]]&gt;=170,Table1[[#This Row],[Frequency (GHz)]]&lt;260),Table1[[#This Row],[Max Chip Thermal Density (W/cm2)]],#N/A)</f>
        <v>#N/A</v>
      </c>
      <c r="AU89" s="1" t="e">
        <f>IF(AND(ISNUMBER(Table1[[#This Row],[Max Chip Thermal Density (W/cm2)]]),Table1[[#This Row],[Frequency (GHz)]]&gt;=260),Table1[[#This Row],[Max Chip Thermal Density (W/cm2)]],#N/A)</f>
        <v>#N/A</v>
      </c>
    </row>
    <row r="90" spans="1:47" x14ac:dyDescent="0.2">
      <c r="A90" s="25">
        <f>IF(ISNUMBER(Table1[[#This Row],[Total Pout/Prad (dBm)]]),Table1[[#This Row],[Total Pout/Prad (dBm)]],#N/A)</f>
        <v>11.2</v>
      </c>
      <c r="B90" s="1">
        <f>IF(ISNUMBER(Table1[[#This Row],[Total Pout/Prad (dBm)]]),Table1[[#This Row],[Total '# of TX Elements]],#N/A)</f>
        <v>1</v>
      </c>
      <c r="C90" s="1">
        <f>IF(ISNUMBER(Table1[[#This Row],[TX EIRP (dBm)]]),Table1[[#This Row],[TX EIRP (dBm)]],#N/A)</f>
        <v>25.2</v>
      </c>
      <c r="D90" s="1">
        <f>Table1[[#This Row],[TX Pdc (W)]]</f>
        <v>0.45</v>
      </c>
      <c r="E90" s="1">
        <f>IF(ISNUMBER(Table1[[#This Row],[Array Aperture Size (cm2)]]),Table1[[#This Row],[Array Aperture Size (cm2)]],IF(Table1[[#This Row],[Antenna on (None, Chip, AiP, PCB)]]="Chip",Table1[[#This Row],[Chip Core Size - X (mm)]]*Table1[[#This Row],[Chip Core Size -Y (mm)]]/100*Table1[[#This Row],['# of IC per Tile]]*Table1[[#This Row],['# of Array Tile]],#N/A))</f>
        <v>2.5092E-2</v>
      </c>
      <c r="F90" s="1">
        <f t="shared" si="2"/>
        <v>2.9294594190142376</v>
      </c>
      <c r="G90" s="1">
        <f t="shared" si="3"/>
        <v>73.584693662798088</v>
      </c>
      <c r="L90" s="1" t="e">
        <f>IF(Table1[[#This Row],[Frequency (GHz)]]&lt;20,Plot_Data_Power!F90,#N/A)</f>
        <v>#N/A</v>
      </c>
      <c r="M90" s="1" t="e">
        <f>IF(AND(Table1[[#This Row],[Frequency (GHz)]]&gt;=20,Table1[[#This Row],[Frequency (GHz)]]&lt;50),Plot_Data_Power!F90,#N/A)</f>
        <v>#N/A</v>
      </c>
      <c r="N90" s="1" t="e">
        <f>IF(AND(Table1[[#This Row],[Frequency (GHz)]]&gt;=50,Table1[[#This Row],[Frequency (GHz)]]&lt;75),Plot_Data_Power!F90,#N/A)</f>
        <v>#N/A</v>
      </c>
      <c r="O90" s="1" t="e">
        <f>IF(AND(Table1[[#This Row],[Frequency (GHz)]]&gt;=75,Table1[[#This Row],[Frequency (GHz)]]&lt;110),Plot_Data_Power!F90,#N/A)</f>
        <v>#N/A</v>
      </c>
      <c r="P90" s="1">
        <f>IF(AND(Table1[[#This Row],[Frequency (GHz)]]&gt;=110,Table1[[#This Row],[Frequency (GHz)]]&lt;170),Plot_Data_Power!F90,#N/A)</f>
        <v>2.9294594190142376</v>
      </c>
      <c r="Q90" s="1" t="e">
        <f>IF(AND(Table1[[#This Row],[Frequency (GHz)]]&gt;=170,Table1[[#This Row],[Frequency (GHz)]]&lt;260),Plot_Data_Power!F90,#N/A)</f>
        <v>#N/A</v>
      </c>
      <c r="R90" s="1" t="e">
        <f>IF(Table1[[#This Row],[Frequency (GHz)]]&gt;=260,Plot_Data_Power!F90,#N/A)</f>
        <v>#N/A</v>
      </c>
      <c r="U90" s="1" t="e">
        <f>IF(Table1[[#This Row],[Frequency (GHz)]]&lt;20,Plot_Data_Power!G90,#N/A)</f>
        <v>#N/A</v>
      </c>
      <c r="V90" s="1" t="e">
        <f>IF(AND(Table1[[#This Row],[Frequency (GHz)]]&gt;=20,Table1[[#This Row],[Frequency (GHz)]]&lt;50),Plot_Data_Power!G90,#N/A)</f>
        <v>#N/A</v>
      </c>
      <c r="W90" s="1" t="e">
        <f>IF(AND(Table1[[#This Row],[Frequency (GHz)]]&gt;=50,Table1[[#This Row],[Frequency (GHz)]]&lt;75),Plot_Data_Power!G90,#N/A)</f>
        <v>#N/A</v>
      </c>
      <c r="X90" s="1" t="e">
        <f>IF(AND(Table1[[#This Row],[Frequency (GHz)]]&gt;=75,Table1[[#This Row],[Frequency (GHz)]]&lt;110),Plot_Data_Power!G90,#N/A)</f>
        <v>#N/A</v>
      </c>
      <c r="Y90" s="1">
        <f>IF(AND(Table1[[#This Row],[Frequency (GHz)]]&gt;=110,Table1[[#This Row],[Frequency (GHz)]]&lt;170),Plot_Data_Power!G90,#N/A)</f>
        <v>73.584693662798088</v>
      </c>
      <c r="Z90" s="1" t="e">
        <f>IF(AND(Table1[[#This Row],[Frequency (GHz)]]&gt;=170,Table1[[#This Row],[Frequency (GHz)]]&lt;260),Plot_Data_Power!G90,#N/A)</f>
        <v>#N/A</v>
      </c>
      <c r="AA90" s="1" t="e">
        <f>IF(Table1[[#This Row],[Frequency (GHz)]]&gt;=260,Plot_Data_Power!G90,#N/A)</f>
        <v>#N/A</v>
      </c>
      <c r="AD90" s="1" t="e">
        <f>IF(ISNUMBER(Table1[[#This Row],[Max Package Thermal Density (W/cm2)]]),Table1[[#This Row],[Max Package Thermal Density (W/cm2)]],#N/A)</f>
        <v>#N/A</v>
      </c>
      <c r="AE90" s="1" t="e">
        <f>IF(AND(ISNUMBER((Table1[[#This Row],[Max Package Thermal Density (W/cm2)]])),Table1[[#This Row],[Frequency (GHz)]]&lt;20),Table1[[#This Row],[Max Package Thermal Density (W/cm2)]],#N/A)</f>
        <v>#N/A</v>
      </c>
      <c r="AF90" s="1" t="e">
        <f>IF(AND(ISNUMBER(Table1[[#This Row],[Max Package Thermal Density (W/cm2)]]),Table1[[#This Row],[Frequency (GHz)]]&gt;=20,Table1[[#This Row],[Frequency (GHz)]]&lt;50),Table1[[#This Row],[Max Package Thermal Density (W/cm2)]],#N/A)</f>
        <v>#N/A</v>
      </c>
      <c r="AG90" s="1" t="e">
        <f>IF(AND(ISNUMBER(Table1[[#This Row],[Max Package Thermal Density (W/cm2)]]),Table1[[#This Row],[Frequency (GHz)]]&gt;=50,Table1[[#This Row],[Frequency (GHz)]]&lt;75),Table1[[#This Row],[Max Package Thermal Density (W/cm2)]],#N/A)</f>
        <v>#N/A</v>
      </c>
      <c r="AH90" s="1" t="e">
        <f>IF(AND(ISNUMBER(Table1[[#This Row],[Max Package Thermal Density (W/cm2)]]),Table1[[#This Row],[Frequency (GHz)]]&gt;=75,Table1[[#This Row],[Frequency (GHz)]]&lt;110),Table1[[#This Row],[Max Package Thermal Density (W/cm2)]],#N/A)</f>
        <v>#N/A</v>
      </c>
      <c r="AI90" s="1" t="e">
        <f>IF(AND(ISNUMBER(Table1[[#This Row],[Max Package Thermal Density (W/cm2)]]),Table1[[#This Row],[Frequency (GHz)]]&gt;=110,Table1[[#This Row],[Frequency (GHz)]]&lt;170),Table1[[#This Row],[Max Package Thermal Density (W/cm2)]],#N/A)</f>
        <v>#N/A</v>
      </c>
      <c r="AJ90" s="1" t="e">
        <f>IF(AND(ISNUMBER(Table1[[#This Row],[Max Package Thermal Density (W/cm2)]]),Table1[[#This Row],[Frequency (GHz)]]&gt;=170,Table1[[#This Row],[Frequency (GHz)]]&lt;260),Table1[[#This Row],[Max Package Thermal Density (W/cm2)]],#N/A)</f>
        <v>#N/A</v>
      </c>
      <c r="AK90" s="1" t="e">
        <f>IF(AND(ISNUMBER(Table1[[#This Row],[Max Package Thermal Density (W/cm2)]]),Table1[[#This Row],[Frequency (GHz)]]&gt;=260),Table1[[#This Row],[Max Package Thermal Density (W/cm2)]],#N/A)</f>
        <v>#N/A</v>
      </c>
      <c r="AN90" s="1">
        <f>IF(ISNUMBER(Table1[[#This Row],[Max Chip Thermal Density (W/cm2)]]),Table1[[#This Row],[Max Chip Thermal Density (W/cm2)]],#N/A)</f>
        <v>14.423076923076923</v>
      </c>
      <c r="AO90" s="1" t="e">
        <f>IF(AND(ISNUMBER((Table1[[#This Row],[Max Chip Thermal Density (W/cm2)]])),Table1[[#This Row],[Frequency (GHz)]]&lt;20),Table1[[#This Row],[Max Chip Thermal Density (W/cm2)]],#N/A)</f>
        <v>#N/A</v>
      </c>
      <c r="AP90" s="1" t="e">
        <f>IF(AND(ISNUMBER(Table1[[#This Row],[Max Chip Thermal Density (W/cm2)]]),Table1[[#This Row],[Frequency (GHz)]]&gt;=20,Table1[[#This Row],[Frequency (GHz)]]&lt;50),Table1[[#This Row],[Max Chip Thermal Density (W/cm2)]],#N/A)</f>
        <v>#N/A</v>
      </c>
      <c r="AQ90" s="1" t="e">
        <f>IF(AND(ISNUMBER(Table1[[#This Row],[Max Chip Thermal Density (W/cm2)]]),Table1[[#This Row],[Frequency (GHz)]]&gt;=50,Table1[[#This Row],[Frequency (GHz)]]&lt;75),Table1[[#This Row],[Max Chip Thermal Density (W/cm2)]],#N/A)</f>
        <v>#N/A</v>
      </c>
      <c r="AR90" s="1" t="e">
        <f>IF(AND(ISNUMBER(Table1[[#This Row],[Max Chip Thermal Density (W/cm2)]]),Table1[[#This Row],[Frequency (GHz)]]&gt;=75,Table1[[#This Row],[Frequency (GHz)]]&lt;110),Table1[[#This Row],[Max Chip Thermal Density (W/cm2)]],#N/A)</f>
        <v>#N/A</v>
      </c>
      <c r="AS90" s="1">
        <f>IF(AND(ISNUMBER(Table1[[#This Row],[Max Chip Thermal Density (W/cm2)]]),Table1[[#This Row],[Frequency (GHz)]]&gt;=110,Table1[[#This Row],[Frequency (GHz)]]&lt;170),Table1[[#This Row],[Max Chip Thermal Density (W/cm2)]],#N/A)</f>
        <v>14.423076923076923</v>
      </c>
      <c r="AT90" s="1" t="e">
        <f>IF(AND(ISNUMBER(Table1[[#This Row],[Max Chip Thermal Density (W/cm2)]]),Table1[[#This Row],[Frequency (GHz)]]&gt;=170,Table1[[#This Row],[Frequency (GHz)]]&lt;260),Table1[[#This Row],[Max Chip Thermal Density (W/cm2)]],#N/A)</f>
        <v>#N/A</v>
      </c>
      <c r="AU90" s="1" t="e">
        <f>IF(AND(ISNUMBER(Table1[[#This Row],[Max Chip Thermal Density (W/cm2)]]),Table1[[#This Row],[Frequency (GHz)]]&gt;=260),Table1[[#This Row],[Max Chip Thermal Density (W/cm2)]],#N/A)</f>
        <v>#N/A</v>
      </c>
    </row>
    <row r="91" spans="1:47" x14ac:dyDescent="0.2">
      <c r="A91" s="25">
        <f>IF(ISNUMBER(Table1[[#This Row],[Total Pout/Prad (dBm)]]),Table1[[#This Row],[Total Pout/Prad (dBm)]],#N/A)</f>
        <v>25.54119982655925</v>
      </c>
      <c r="B91" s="1">
        <f>IF(ISNUMBER(Table1[[#This Row],[Total Pout/Prad (dBm)]]),Table1[[#This Row],[Total '# of TX Elements]],#N/A)</f>
        <v>16</v>
      </c>
      <c r="C91" s="1" t="e">
        <f>IF(ISNUMBER(Table1[[#This Row],[TX EIRP (dBm)]]),Table1[[#This Row],[TX EIRP (dBm)]],#N/A)</f>
        <v>#N/A</v>
      </c>
      <c r="D91" s="1">
        <f>Table1[[#This Row],[TX Pdc (W)]]</f>
        <v>4.24</v>
      </c>
      <c r="E91"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91" s="1">
        <f t="shared" si="2"/>
        <v>8.4480042964843136</v>
      </c>
      <c r="G91" s="1" t="e">
        <f t="shared" si="3"/>
        <v>#N/A</v>
      </c>
      <c r="L91" s="1" t="e">
        <f>IF(Table1[[#This Row],[Frequency (GHz)]]&lt;20,Plot_Data_Power!F91,#N/A)</f>
        <v>#N/A</v>
      </c>
      <c r="M91" s="1">
        <f>IF(AND(Table1[[#This Row],[Frequency (GHz)]]&gt;=20,Table1[[#This Row],[Frequency (GHz)]]&lt;50),Plot_Data_Power!F91,#N/A)</f>
        <v>8.4480042964843136</v>
      </c>
      <c r="N91" s="1" t="e">
        <f>IF(AND(Table1[[#This Row],[Frequency (GHz)]]&gt;=50,Table1[[#This Row],[Frequency (GHz)]]&lt;75),Plot_Data_Power!F91,#N/A)</f>
        <v>#N/A</v>
      </c>
      <c r="O91" s="1" t="e">
        <f>IF(AND(Table1[[#This Row],[Frequency (GHz)]]&gt;=75,Table1[[#This Row],[Frequency (GHz)]]&lt;110),Plot_Data_Power!F91,#N/A)</f>
        <v>#N/A</v>
      </c>
      <c r="P91" s="1" t="e">
        <f>IF(AND(Table1[[#This Row],[Frequency (GHz)]]&gt;=110,Table1[[#This Row],[Frequency (GHz)]]&lt;170),Plot_Data_Power!F91,#N/A)</f>
        <v>#N/A</v>
      </c>
      <c r="Q91" s="1" t="e">
        <f>IF(AND(Table1[[#This Row],[Frequency (GHz)]]&gt;=170,Table1[[#This Row],[Frequency (GHz)]]&lt;260),Plot_Data_Power!F91,#N/A)</f>
        <v>#N/A</v>
      </c>
      <c r="R91" s="1" t="e">
        <f>IF(Table1[[#This Row],[Frequency (GHz)]]&gt;=260,Plot_Data_Power!F91,#N/A)</f>
        <v>#N/A</v>
      </c>
      <c r="U91" s="1" t="e">
        <f>IF(Table1[[#This Row],[Frequency (GHz)]]&lt;20,Plot_Data_Power!G91,#N/A)</f>
        <v>#N/A</v>
      </c>
      <c r="V91" s="1" t="e">
        <f>IF(AND(Table1[[#This Row],[Frequency (GHz)]]&gt;=20,Table1[[#This Row],[Frequency (GHz)]]&lt;50),Plot_Data_Power!G91,#N/A)</f>
        <v>#N/A</v>
      </c>
      <c r="W91" s="1" t="e">
        <f>IF(AND(Table1[[#This Row],[Frequency (GHz)]]&gt;=50,Table1[[#This Row],[Frequency (GHz)]]&lt;75),Plot_Data_Power!G91,#N/A)</f>
        <v>#N/A</v>
      </c>
      <c r="X91" s="1" t="e">
        <f>IF(AND(Table1[[#This Row],[Frequency (GHz)]]&gt;=75,Table1[[#This Row],[Frequency (GHz)]]&lt;110),Plot_Data_Power!G91,#N/A)</f>
        <v>#N/A</v>
      </c>
      <c r="Y91" s="1" t="e">
        <f>IF(AND(Table1[[#This Row],[Frequency (GHz)]]&gt;=110,Table1[[#This Row],[Frequency (GHz)]]&lt;170),Plot_Data_Power!G91,#N/A)</f>
        <v>#N/A</v>
      </c>
      <c r="Z91" s="1" t="e">
        <f>IF(AND(Table1[[#This Row],[Frequency (GHz)]]&gt;=170,Table1[[#This Row],[Frequency (GHz)]]&lt;260),Plot_Data_Power!G91,#N/A)</f>
        <v>#N/A</v>
      </c>
      <c r="AA91" s="1" t="e">
        <f>IF(Table1[[#This Row],[Frequency (GHz)]]&gt;=260,Plot_Data_Power!G91,#N/A)</f>
        <v>#N/A</v>
      </c>
      <c r="AD91" s="1" t="e">
        <f>IF(ISNUMBER(Table1[[#This Row],[Max Package Thermal Density (W/cm2)]]),Table1[[#This Row],[Max Package Thermal Density (W/cm2)]],#N/A)</f>
        <v>#N/A</v>
      </c>
      <c r="AE91" s="1" t="e">
        <f>IF(AND(ISNUMBER((Table1[[#This Row],[Max Package Thermal Density (W/cm2)]])),Table1[[#This Row],[Frequency (GHz)]]&lt;20),Table1[[#This Row],[Max Package Thermal Density (W/cm2)]],#N/A)</f>
        <v>#N/A</v>
      </c>
      <c r="AF91" s="1" t="e">
        <f>IF(AND(ISNUMBER(Table1[[#This Row],[Max Package Thermal Density (W/cm2)]]),Table1[[#This Row],[Frequency (GHz)]]&gt;=20,Table1[[#This Row],[Frequency (GHz)]]&lt;50),Table1[[#This Row],[Max Package Thermal Density (W/cm2)]],#N/A)</f>
        <v>#N/A</v>
      </c>
      <c r="AG91" s="1" t="e">
        <f>IF(AND(ISNUMBER(Table1[[#This Row],[Max Package Thermal Density (W/cm2)]]),Table1[[#This Row],[Frequency (GHz)]]&gt;=50,Table1[[#This Row],[Frequency (GHz)]]&lt;75),Table1[[#This Row],[Max Package Thermal Density (W/cm2)]],#N/A)</f>
        <v>#N/A</v>
      </c>
      <c r="AH91" s="1" t="e">
        <f>IF(AND(ISNUMBER(Table1[[#This Row],[Max Package Thermal Density (W/cm2)]]),Table1[[#This Row],[Frequency (GHz)]]&gt;=75,Table1[[#This Row],[Frequency (GHz)]]&lt;110),Table1[[#This Row],[Max Package Thermal Density (W/cm2)]],#N/A)</f>
        <v>#N/A</v>
      </c>
      <c r="AI91" s="1" t="e">
        <f>IF(AND(ISNUMBER(Table1[[#This Row],[Max Package Thermal Density (W/cm2)]]),Table1[[#This Row],[Frequency (GHz)]]&gt;=110,Table1[[#This Row],[Frequency (GHz)]]&lt;170),Table1[[#This Row],[Max Package Thermal Density (W/cm2)]],#N/A)</f>
        <v>#N/A</v>
      </c>
      <c r="AJ91" s="1" t="e">
        <f>IF(AND(ISNUMBER(Table1[[#This Row],[Max Package Thermal Density (W/cm2)]]),Table1[[#This Row],[Frequency (GHz)]]&gt;=170,Table1[[#This Row],[Frequency (GHz)]]&lt;260),Table1[[#This Row],[Max Package Thermal Density (W/cm2)]],#N/A)</f>
        <v>#N/A</v>
      </c>
      <c r="AK91" s="1" t="e">
        <f>IF(AND(ISNUMBER(Table1[[#This Row],[Max Package Thermal Density (W/cm2)]]),Table1[[#This Row],[Frequency (GHz)]]&gt;=260),Table1[[#This Row],[Max Package Thermal Density (W/cm2)]],#N/A)</f>
        <v>#N/A</v>
      </c>
      <c r="AN91" s="1">
        <f>IF(ISNUMBER(Table1[[#This Row],[Max Chip Thermal Density (W/cm2)]]),Table1[[#This Row],[Max Chip Thermal Density (W/cm2)]],#N/A)</f>
        <v>16.903340004305569</v>
      </c>
      <c r="AO91" s="1" t="e">
        <f>IF(AND(ISNUMBER((Table1[[#This Row],[Max Chip Thermal Density (W/cm2)]])),Table1[[#This Row],[Frequency (GHz)]]&lt;20),Table1[[#This Row],[Max Chip Thermal Density (W/cm2)]],#N/A)</f>
        <v>#N/A</v>
      </c>
      <c r="AP91" s="1">
        <f>IF(AND(ISNUMBER(Table1[[#This Row],[Max Chip Thermal Density (W/cm2)]]),Table1[[#This Row],[Frequency (GHz)]]&gt;=20,Table1[[#This Row],[Frequency (GHz)]]&lt;50),Table1[[#This Row],[Max Chip Thermal Density (W/cm2)]],#N/A)</f>
        <v>16.903340004305569</v>
      </c>
      <c r="AQ91" s="1" t="e">
        <f>IF(AND(ISNUMBER(Table1[[#This Row],[Max Chip Thermal Density (W/cm2)]]),Table1[[#This Row],[Frequency (GHz)]]&gt;=50,Table1[[#This Row],[Frequency (GHz)]]&lt;75),Table1[[#This Row],[Max Chip Thermal Density (W/cm2)]],#N/A)</f>
        <v>#N/A</v>
      </c>
      <c r="AR91" s="1" t="e">
        <f>IF(AND(ISNUMBER(Table1[[#This Row],[Max Chip Thermal Density (W/cm2)]]),Table1[[#This Row],[Frequency (GHz)]]&gt;=75,Table1[[#This Row],[Frequency (GHz)]]&lt;110),Table1[[#This Row],[Max Chip Thermal Density (W/cm2)]],#N/A)</f>
        <v>#N/A</v>
      </c>
      <c r="AS91" s="1" t="e">
        <f>IF(AND(ISNUMBER(Table1[[#This Row],[Max Chip Thermal Density (W/cm2)]]),Table1[[#This Row],[Frequency (GHz)]]&gt;=110,Table1[[#This Row],[Frequency (GHz)]]&lt;170),Table1[[#This Row],[Max Chip Thermal Density (W/cm2)]],#N/A)</f>
        <v>#N/A</v>
      </c>
      <c r="AT91" s="1" t="e">
        <f>IF(AND(ISNUMBER(Table1[[#This Row],[Max Chip Thermal Density (W/cm2)]]),Table1[[#This Row],[Frequency (GHz)]]&gt;=170,Table1[[#This Row],[Frequency (GHz)]]&lt;260),Table1[[#This Row],[Max Chip Thermal Density (W/cm2)]],#N/A)</f>
        <v>#N/A</v>
      </c>
      <c r="AU91" s="1" t="e">
        <f>IF(AND(ISNUMBER(Table1[[#This Row],[Max Chip Thermal Density (W/cm2)]]),Table1[[#This Row],[Frequency (GHz)]]&gt;=260),Table1[[#This Row],[Max Chip Thermal Density (W/cm2)]],#N/A)</f>
        <v>#N/A</v>
      </c>
    </row>
    <row r="92" spans="1:47" x14ac:dyDescent="0.2">
      <c r="A92" s="25">
        <f>IF(ISNUMBER(Table1[[#This Row],[Total Pout/Prad (dBm)]]),Table1[[#This Row],[Total Pout/Prad (dBm)]],#N/A)</f>
        <v>24.041199826559247</v>
      </c>
      <c r="B92" s="1">
        <f>IF(ISNUMBER(Table1[[#This Row],[Total Pout/Prad (dBm)]]),Table1[[#This Row],[Total '# of TX Elements]],#N/A)</f>
        <v>16</v>
      </c>
      <c r="C92" s="1" t="e">
        <f>IF(ISNUMBER(Table1[[#This Row],[TX EIRP (dBm)]]),Table1[[#This Row],[TX EIRP (dBm)]],#N/A)</f>
        <v>#N/A</v>
      </c>
      <c r="D92" s="1">
        <f>Table1[[#This Row],[TX Pdc (W)]]</f>
        <v>4.4000000000000004</v>
      </c>
      <c r="E92"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92" s="1">
        <f t="shared" si="2"/>
        <v>5.7632479725858694</v>
      </c>
      <c r="G92" s="1" t="e">
        <f t="shared" si="3"/>
        <v>#N/A</v>
      </c>
      <c r="L92" s="1" t="e">
        <f>IF(Table1[[#This Row],[Frequency (GHz)]]&lt;20,Plot_Data_Power!F92,#N/A)</f>
        <v>#N/A</v>
      </c>
      <c r="M92" s="1">
        <f>IF(AND(Table1[[#This Row],[Frequency (GHz)]]&gt;=20,Table1[[#This Row],[Frequency (GHz)]]&lt;50),Plot_Data_Power!F92,#N/A)</f>
        <v>5.7632479725858694</v>
      </c>
      <c r="N92" s="1" t="e">
        <f>IF(AND(Table1[[#This Row],[Frequency (GHz)]]&gt;=50,Table1[[#This Row],[Frequency (GHz)]]&lt;75),Plot_Data_Power!F92,#N/A)</f>
        <v>#N/A</v>
      </c>
      <c r="O92" s="1" t="e">
        <f>IF(AND(Table1[[#This Row],[Frequency (GHz)]]&gt;=75,Table1[[#This Row],[Frequency (GHz)]]&lt;110),Plot_Data_Power!F92,#N/A)</f>
        <v>#N/A</v>
      </c>
      <c r="P92" s="1" t="e">
        <f>IF(AND(Table1[[#This Row],[Frequency (GHz)]]&gt;=110,Table1[[#This Row],[Frequency (GHz)]]&lt;170),Plot_Data_Power!F92,#N/A)</f>
        <v>#N/A</v>
      </c>
      <c r="Q92" s="1" t="e">
        <f>IF(AND(Table1[[#This Row],[Frequency (GHz)]]&gt;=170,Table1[[#This Row],[Frequency (GHz)]]&lt;260),Plot_Data_Power!F92,#N/A)</f>
        <v>#N/A</v>
      </c>
      <c r="R92" s="1" t="e">
        <f>IF(Table1[[#This Row],[Frequency (GHz)]]&gt;=260,Plot_Data_Power!F92,#N/A)</f>
        <v>#N/A</v>
      </c>
      <c r="U92" s="1" t="e">
        <f>IF(Table1[[#This Row],[Frequency (GHz)]]&lt;20,Plot_Data_Power!G92,#N/A)</f>
        <v>#N/A</v>
      </c>
      <c r="V92" s="1" t="e">
        <f>IF(AND(Table1[[#This Row],[Frequency (GHz)]]&gt;=20,Table1[[#This Row],[Frequency (GHz)]]&lt;50),Plot_Data_Power!G92,#N/A)</f>
        <v>#N/A</v>
      </c>
      <c r="W92" s="1" t="e">
        <f>IF(AND(Table1[[#This Row],[Frequency (GHz)]]&gt;=50,Table1[[#This Row],[Frequency (GHz)]]&lt;75),Plot_Data_Power!G92,#N/A)</f>
        <v>#N/A</v>
      </c>
      <c r="X92" s="1" t="e">
        <f>IF(AND(Table1[[#This Row],[Frequency (GHz)]]&gt;=75,Table1[[#This Row],[Frequency (GHz)]]&lt;110),Plot_Data_Power!G92,#N/A)</f>
        <v>#N/A</v>
      </c>
      <c r="Y92" s="1" t="e">
        <f>IF(AND(Table1[[#This Row],[Frequency (GHz)]]&gt;=110,Table1[[#This Row],[Frequency (GHz)]]&lt;170),Plot_Data_Power!G92,#N/A)</f>
        <v>#N/A</v>
      </c>
      <c r="Z92" s="1" t="e">
        <f>IF(AND(Table1[[#This Row],[Frequency (GHz)]]&gt;=170,Table1[[#This Row],[Frequency (GHz)]]&lt;260),Plot_Data_Power!G92,#N/A)</f>
        <v>#N/A</v>
      </c>
      <c r="AA92" s="1" t="e">
        <f>IF(Table1[[#This Row],[Frequency (GHz)]]&gt;=260,Plot_Data_Power!G92,#N/A)</f>
        <v>#N/A</v>
      </c>
      <c r="AD92" s="1" t="e">
        <f>IF(ISNUMBER(Table1[[#This Row],[Max Package Thermal Density (W/cm2)]]),Table1[[#This Row],[Max Package Thermal Density (W/cm2)]],#N/A)</f>
        <v>#N/A</v>
      </c>
      <c r="AE92" s="1" t="e">
        <f>IF(AND(ISNUMBER((Table1[[#This Row],[Max Package Thermal Density (W/cm2)]])),Table1[[#This Row],[Frequency (GHz)]]&lt;20),Table1[[#This Row],[Max Package Thermal Density (W/cm2)]],#N/A)</f>
        <v>#N/A</v>
      </c>
      <c r="AF92" s="1" t="e">
        <f>IF(AND(ISNUMBER(Table1[[#This Row],[Max Package Thermal Density (W/cm2)]]),Table1[[#This Row],[Frequency (GHz)]]&gt;=20,Table1[[#This Row],[Frequency (GHz)]]&lt;50),Table1[[#This Row],[Max Package Thermal Density (W/cm2)]],#N/A)</f>
        <v>#N/A</v>
      </c>
      <c r="AG92" s="1" t="e">
        <f>IF(AND(ISNUMBER(Table1[[#This Row],[Max Package Thermal Density (W/cm2)]]),Table1[[#This Row],[Frequency (GHz)]]&gt;=50,Table1[[#This Row],[Frequency (GHz)]]&lt;75),Table1[[#This Row],[Max Package Thermal Density (W/cm2)]],#N/A)</f>
        <v>#N/A</v>
      </c>
      <c r="AH92" s="1" t="e">
        <f>IF(AND(ISNUMBER(Table1[[#This Row],[Max Package Thermal Density (W/cm2)]]),Table1[[#This Row],[Frequency (GHz)]]&gt;=75,Table1[[#This Row],[Frequency (GHz)]]&lt;110),Table1[[#This Row],[Max Package Thermal Density (W/cm2)]],#N/A)</f>
        <v>#N/A</v>
      </c>
      <c r="AI92" s="1" t="e">
        <f>IF(AND(ISNUMBER(Table1[[#This Row],[Max Package Thermal Density (W/cm2)]]),Table1[[#This Row],[Frequency (GHz)]]&gt;=110,Table1[[#This Row],[Frequency (GHz)]]&lt;170),Table1[[#This Row],[Max Package Thermal Density (W/cm2)]],#N/A)</f>
        <v>#N/A</v>
      </c>
      <c r="AJ92" s="1" t="e">
        <f>IF(AND(ISNUMBER(Table1[[#This Row],[Max Package Thermal Density (W/cm2)]]),Table1[[#This Row],[Frequency (GHz)]]&gt;=170,Table1[[#This Row],[Frequency (GHz)]]&lt;260),Table1[[#This Row],[Max Package Thermal Density (W/cm2)]],#N/A)</f>
        <v>#N/A</v>
      </c>
      <c r="AK92" s="1" t="e">
        <f>IF(AND(ISNUMBER(Table1[[#This Row],[Max Package Thermal Density (W/cm2)]]),Table1[[#This Row],[Frequency (GHz)]]&gt;=260),Table1[[#This Row],[Max Package Thermal Density (W/cm2)]],#N/A)</f>
        <v>#N/A</v>
      </c>
      <c r="AN92" s="1">
        <f>IF(ISNUMBER(Table1[[#This Row],[Max Chip Thermal Density (W/cm2)]]),Table1[[#This Row],[Max Chip Thermal Density (W/cm2)]],#N/A)</f>
        <v>17.541201891260496</v>
      </c>
      <c r="AO92" s="1" t="e">
        <f>IF(AND(ISNUMBER((Table1[[#This Row],[Max Chip Thermal Density (W/cm2)]])),Table1[[#This Row],[Frequency (GHz)]]&lt;20),Table1[[#This Row],[Max Chip Thermal Density (W/cm2)]],#N/A)</f>
        <v>#N/A</v>
      </c>
      <c r="AP92" s="1">
        <f>IF(AND(ISNUMBER(Table1[[#This Row],[Max Chip Thermal Density (W/cm2)]]),Table1[[#This Row],[Frequency (GHz)]]&gt;=20,Table1[[#This Row],[Frequency (GHz)]]&lt;50),Table1[[#This Row],[Max Chip Thermal Density (W/cm2)]],#N/A)</f>
        <v>17.541201891260496</v>
      </c>
      <c r="AQ92" s="1" t="e">
        <f>IF(AND(ISNUMBER(Table1[[#This Row],[Max Chip Thermal Density (W/cm2)]]),Table1[[#This Row],[Frequency (GHz)]]&gt;=50,Table1[[#This Row],[Frequency (GHz)]]&lt;75),Table1[[#This Row],[Max Chip Thermal Density (W/cm2)]],#N/A)</f>
        <v>#N/A</v>
      </c>
      <c r="AR92" s="1" t="e">
        <f>IF(AND(ISNUMBER(Table1[[#This Row],[Max Chip Thermal Density (W/cm2)]]),Table1[[#This Row],[Frequency (GHz)]]&gt;=75,Table1[[#This Row],[Frequency (GHz)]]&lt;110),Table1[[#This Row],[Max Chip Thermal Density (W/cm2)]],#N/A)</f>
        <v>#N/A</v>
      </c>
      <c r="AS92" s="1" t="e">
        <f>IF(AND(ISNUMBER(Table1[[#This Row],[Max Chip Thermal Density (W/cm2)]]),Table1[[#This Row],[Frequency (GHz)]]&gt;=110,Table1[[#This Row],[Frequency (GHz)]]&lt;170),Table1[[#This Row],[Max Chip Thermal Density (W/cm2)]],#N/A)</f>
        <v>#N/A</v>
      </c>
      <c r="AT92" s="1" t="e">
        <f>IF(AND(ISNUMBER(Table1[[#This Row],[Max Chip Thermal Density (W/cm2)]]),Table1[[#This Row],[Frequency (GHz)]]&gt;=170,Table1[[#This Row],[Frequency (GHz)]]&lt;260),Table1[[#This Row],[Max Chip Thermal Density (W/cm2)]],#N/A)</f>
        <v>#N/A</v>
      </c>
      <c r="AU92" s="1" t="e">
        <f>IF(AND(ISNUMBER(Table1[[#This Row],[Max Chip Thermal Density (W/cm2)]]),Table1[[#This Row],[Frequency (GHz)]]&gt;=260),Table1[[#This Row],[Max Chip Thermal Density (W/cm2)]],#N/A)</f>
        <v>#N/A</v>
      </c>
    </row>
    <row r="93" spans="1:47" x14ac:dyDescent="0.2">
      <c r="A93" s="25" t="e">
        <f>IF(ISNUMBER(Table1[[#This Row],[Total Pout/Prad (dBm)]]),Table1[[#This Row],[Total Pout/Prad (dBm)]],#N/A)</f>
        <v>#N/A</v>
      </c>
      <c r="B93" s="1" t="e">
        <f>IF(ISNUMBER(Table1[[#This Row],[Total Pout/Prad (dBm)]]),Table1[[#This Row],[Total '# of TX Elements]],#N/A)</f>
        <v>#N/A</v>
      </c>
      <c r="C93" s="1" t="e">
        <f>IF(ISNUMBER(Table1[[#This Row],[TX EIRP (dBm)]]),Table1[[#This Row],[TX EIRP (dBm)]],#N/A)</f>
        <v>#N/A</v>
      </c>
      <c r="D93" s="1" t="str">
        <f>Table1[[#This Row],[TX Pdc (W)]]</f>
        <v>N/A</v>
      </c>
      <c r="E93"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93" s="1" t="e">
        <f t="shared" si="2"/>
        <v>#N/A</v>
      </c>
      <c r="G93" s="1" t="e">
        <f t="shared" si="3"/>
        <v>#N/A</v>
      </c>
      <c r="L93" s="1" t="e">
        <f>IF(Table1[[#This Row],[Frequency (GHz)]]&lt;20,Plot_Data_Power!F93,#N/A)</f>
        <v>#N/A</v>
      </c>
      <c r="M93" s="1" t="e">
        <f>IF(AND(Table1[[#This Row],[Frequency (GHz)]]&gt;=20,Table1[[#This Row],[Frequency (GHz)]]&lt;50),Plot_Data_Power!F93,#N/A)</f>
        <v>#N/A</v>
      </c>
      <c r="N93" s="1" t="e">
        <f>IF(AND(Table1[[#This Row],[Frequency (GHz)]]&gt;=50,Table1[[#This Row],[Frequency (GHz)]]&lt;75),Plot_Data_Power!F93,#N/A)</f>
        <v>#N/A</v>
      </c>
      <c r="O93" s="1" t="e">
        <f>IF(AND(Table1[[#This Row],[Frequency (GHz)]]&gt;=75,Table1[[#This Row],[Frequency (GHz)]]&lt;110),Plot_Data_Power!F93,#N/A)</f>
        <v>#N/A</v>
      </c>
      <c r="P93" s="1" t="e">
        <f>IF(AND(Table1[[#This Row],[Frequency (GHz)]]&gt;=110,Table1[[#This Row],[Frequency (GHz)]]&lt;170),Plot_Data_Power!F93,#N/A)</f>
        <v>#N/A</v>
      </c>
      <c r="Q93" s="1" t="e">
        <f>IF(AND(Table1[[#This Row],[Frequency (GHz)]]&gt;=170,Table1[[#This Row],[Frequency (GHz)]]&lt;260),Plot_Data_Power!F93,#N/A)</f>
        <v>#N/A</v>
      </c>
      <c r="R93" s="1" t="e">
        <f>IF(Table1[[#This Row],[Frequency (GHz)]]&gt;=260,Plot_Data_Power!F93,#N/A)</f>
        <v>#N/A</v>
      </c>
      <c r="U93" s="1" t="e">
        <f>IF(Table1[[#This Row],[Frequency (GHz)]]&lt;20,Plot_Data_Power!G93,#N/A)</f>
        <v>#N/A</v>
      </c>
      <c r="V93" s="1" t="e">
        <f>IF(AND(Table1[[#This Row],[Frequency (GHz)]]&gt;=20,Table1[[#This Row],[Frequency (GHz)]]&lt;50),Plot_Data_Power!G93,#N/A)</f>
        <v>#N/A</v>
      </c>
      <c r="W93" s="1" t="e">
        <f>IF(AND(Table1[[#This Row],[Frequency (GHz)]]&gt;=50,Table1[[#This Row],[Frequency (GHz)]]&lt;75),Plot_Data_Power!G93,#N/A)</f>
        <v>#N/A</v>
      </c>
      <c r="X93" s="1" t="e">
        <f>IF(AND(Table1[[#This Row],[Frequency (GHz)]]&gt;=75,Table1[[#This Row],[Frequency (GHz)]]&lt;110),Plot_Data_Power!G93,#N/A)</f>
        <v>#N/A</v>
      </c>
      <c r="Y93" s="1" t="e">
        <f>IF(AND(Table1[[#This Row],[Frequency (GHz)]]&gt;=110,Table1[[#This Row],[Frequency (GHz)]]&lt;170),Plot_Data_Power!G93,#N/A)</f>
        <v>#N/A</v>
      </c>
      <c r="Z93" s="1" t="e">
        <f>IF(AND(Table1[[#This Row],[Frequency (GHz)]]&gt;=170,Table1[[#This Row],[Frequency (GHz)]]&lt;260),Plot_Data_Power!G93,#N/A)</f>
        <v>#N/A</v>
      </c>
      <c r="AA93" s="1" t="e">
        <f>IF(Table1[[#This Row],[Frequency (GHz)]]&gt;=260,Plot_Data_Power!G93,#N/A)</f>
        <v>#N/A</v>
      </c>
      <c r="AD93" s="1" t="e">
        <f>IF(ISNUMBER(Table1[[#This Row],[Max Package Thermal Density (W/cm2)]]),Table1[[#This Row],[Max Package Thermal Density (W/cm2)]],#N/A)</f>
        <v>#N/A</v>
      </c>
      <c r="AE93" s="1" t="e">
        <f>IF(AND(ISNUMBER((Table1[[#This Row],[Max Package Thermal Density (W/cm2)]])),Table1[[#This Row],[Frequency (GHz)]]&lt;20),Table1[[#This Row],[Max Package Thermal Density (W/cm2)]],#N/A)</f>
        <v>#N/A</v>
      </c>
      <c r="AF93" s="1" t="e">
        <f>IF(AND(ISNUMBER(Table1[[#This Row],[Max Package Thermal Density (W/cm2)]]),Table1[[#This Row],[Frequency (GHz)]]&gt;=20,Table1[[#This Row],[Frequency (GHz)]]&lt;50),Table1[[#This Row],[Max Package Thermal Density (W/cm2)]],#N/A)</f>
        <v>#N/A</v>
      </c>
      <c r="AG93" s="1" t="e">
        <f>IF(AND(ISNUMBER(Table1[[#This Row],[Max Package Thermal Density (W/cm2)]]),Table1[[#This Row],[Frequency (GHz)]]&gt;=50,Table1[[#This Row],[Frequency (GHz)]]&lt;75),Table1[[#This Row],[Max Package Thermal Density (W/cm2)]],#N/A)</f>
        <v>#N/A</v>
      </c>
      <c r="AH93" s="1" t="e">
        <f>IF(AND(ISNUMBER(Table1[[#This Row],[Max Package Thermal Density (W/cm2)]]),Table1[[#This Row],[Frequency (GHz)]]&gt;=75,Table1[[#This Row],[Frequency (GHz)]]&lt;110),Table1[[#This Row],[Max Package Thermal Density (W/cm2)]],#N/A)</f>
        <v>#N/A</v>
      </c>
      <c r="AI93" s="1" t="e">
        <f>IF(AND(ISNUMBER(Table1[[#This Row],[Max Package Thermal Density (W/cm2)]]),Table1[[#This Row],[Frequency (GHz)]]&gt;=110,Table1[[#This Row],[Frequency (GHz)]]&lt;170),Table1[[#This Row],[Max Package Thermal Density (W/cm2)]],#N/A)</f>
        <v>#N/A</v>
      </c>
      <c r="AJ93" s="1" t="e">
        <f>IF(AND(ISNUMBER(Table1[[#This Row],[Max Package Thermal Density (W/cm2)]]),Table1[[#This Row],[Frequency (GHz)]]&gt;=170,Table1[[#This Row],[Frequency (GHz)]]&lt;260),Table1[[#This Row],[Max Package Thermal Density (W/cm2)]],#N/A)</f>
        <v>#N/A</v>
      </c>
      <c r="AK93" s="1" t="e">
        <f>IF(AND(ISNUMBER(Table1[[#This Row],[Max Package Thermal Density (W/cm2)]]),Table1[[#This Row],[Frequency (GHz)]]&gt;=260),Table1[[#This Row],[Max Package Thermal Density (W/cm2)]],#N/A)</f>
        <v>#N/A</v>
      </c>
      <c r="AN93" s="1">
        <f>IF(ISNUMBER(Table1[[#This Row],[Max Chip Thermal Density (W/cm2)]]),Table1[[#This Row],[Max Chip Thermal Density (W/cm2)]],#N/A)</f>
        <v>8.0534022394487508</v>
      </c>
      <c r="AO93" s="1" t="e">
        <f>IF(AND(ISNUMBER((Table1[[#This Row],[Max Chip Thermal Density (W/cm2)]])),Table1[[#This Row],[Frequency (GHz)]]&lt;20),Table1[[#This Row],[Max Chip Thermal Density (W/cm2)]],#N/A)</f>
        <v>#N/A</v>
      </c>
      <c r="AP93" s="1">
        <f>IF(AND(ISNUMBER(Table1[[#This Row],[Max Chip Thermal Density (W/cm2)]]),Table1[[#This Row],[Frequency (GHz)]]&gt;=20,Table1[[#This Row],[Frequency (GHz)]]&lt;50),Table1[[#This Row],[Max Chip Thermal Density (W/cm2)]],#N/A)</f>
        <v>8.0534022394487508</v>
      </c>
      <c r="AQ93" s="1" t="e">
        <f>IF(AND(ISNUMBER(Table1[[#This Row],[Max Chip Thermal Density (W/cm2)]]),Table1[[#This Row],[Frequency (GHz)]]&gt;=50,Table1[[#This Row],[Frequency (GHz)]]&lt;75),Table1[[#This Row],[Max Chip Thermal Density (W/cm2)]],#N/A)</f>
        <v>#N/A</v>
      </c>
      <c r="AR93" s="1" t="e">
        <f>IF(AND(ISNUMBER(Table1[[#This Row],[Max Chip Thermal Density (W/cm2)]]),Table1[[#This Row],[Frequency (GHz)]]&gt;=75,Table1[[#This Row],[Frequency (GHz)]]&lt;110),Table1[[#This Row],[Max Chip Thermal Density (W/cm2)]],#N/A)</f>
        <v>#N/A</v>
      </c>
      <c r="AS93" s="1" t="e">
        <f>IF(AND(ISNUMBER(Table1[[#This Row],[Max Chip Thermal Density (W/cm2)]]),Table1[[#This Row],[Frequency (GHz)]]&gt;=110,Table1[[#This Row],[Frequency (GHz)]]&lt;170),Table1[[#This Row],[Max Chip Thermal Density (W/cm2)]],#N/A)</f>
        <v>#N/A</v>
      </c>
      <c r="AT93" s="1" t="e">
        <f>IF(AND(ISNUMBER(Table1[[#This Row],[Max Chip Thermal Density (W/cm2)]]),Table1[[#This Row],[Frequency (GHz)]]&gt;=170,Table1[[#This Row],[Frequency (GHz)]]&lt;260),Table1[[#This Row],[Max Chip Thermal Density (W/cm2)]],#N/A)</f>
        <v>#N/A</v>
      </c>
      <c r="AU93" s="1" t="e">
        <f>IF(AND(ISNUMBER(Table1[[#This Row],[Max Chip Thermal Density (W/cm2)]]),Table1[[#This Row],[Frequency (GHz)]]&gt;=260),Table1[[#This Row],[Max Chip Thermal Density (W/cm2)]],#N/A)</f>
        <v>#N/A</v>
      </c>
    </row>
    <row r="94" spans="1:47" x14ac:dyDescent="0.2">
      <c r="A94" s="25" t="e">
        <f>IF(ISNUMBER(Table1[[#This Row],[Total Pout/Prad (dBm)]]),Table1[[#This Row],[Total Pout/Prad (dBm)]],#N/A)</f>
        <v>#N/A</v>
      </c>
      <c r="B94" s="1" t="e">
        <f>IF(ISNUMBER(Table1[[#This Row],[Total Pout/Prad (dBm)]]),Table1[[#This Row],[Total '# of TX Elements]],#N/A)</f>
        <v>#N/A</v>
      </c>
      <c r="C94" s="1" t="e">
        <f>IF(ISNUMBER(Table1[[#This Row],[TX EIRP (dBm)]]),Table1[[#This Row],[TX EIRP (dBm)]],#N/A)</f>
        <v>#N/A</v>
      </c>
      <c r="D94" s="1" t="str">
        <f>Table1[[#This Row],[TX Pdc (W)]]</f>
        <v>N/A</v>
      </c>
      <c r="E94"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94" s="1" t="e">
        <f t="shared" si="2"/>
        <v>#N/A</v>
      </c>
      <c r="G94" s="1" t="e">
        <f t="shared" si="3"/>
        <v>#N/A</v>
      </c>
      <c r="L94" s="1" t="e">
        <f>IF(Table1[[#This Row],[Frequency (GHz)]]&lt;20,Plot_Data_Power!F94,#N/A)</f>
        <v>#N/A</v>
      </c>
      <c r="M94" s="1" t="e">
        <f>IF(AND(Table1[[#This Row],[Frequency (GHz)]]&gt;=20,Table1[[#This Row],[Frequency (GHz)]]&lt;50),Plot_Data_Power!F94,#N/A)</f>
        <v>#N/A</v>
      </c>
      <c r="N94" s="1" t="e">
        <f>IF(AND(Table1[[#This Row],[Frequency (GHz)]]&gt;=50,Table1[[#This Row],[Frequency (GHz)]]&lt;75),Plot_Data_Power!F94,#N/A)</f>
        <v>#N/A</v>
      </c>
      <c r="O94" s="1" t="e">
        <f>IF(AND(Table1[[#This Row],[Frequency (GHz)]]&gt;=75,Table1[[#This Row],[Frequency (GHz)]]&lt;110),Plot_Data_Power!F94,#N/A)</f>
        <v>#N/A</v>
      </c>
      <c r="P94" s="1" t="e">
        <f>IF(AND(Table1[[#This Row],[Frequency (GHz)]]&gt;=110,Table1[[#This Row],[Frequency (GHz)]]&lt;170),Plot_Data_Power!F94,#N/A)</f>
        <v>#N/A</v>
      </c>
      <c r="Q94" s="1" t="e">
        <f>IF(AND(Table1[[#This Row],[Frequency (GHz)]]&gt;=170,Table1[[#This Row],[Frequency (GHz)]]&lt;260),Plot_Data_Power!F94,#N/A)</f>
        <v>#N/A</v>
      </c>
      <c r="R94" s="1" t="e">
        <f>IF(Table1[[#This Row],[Frequency (GHz)]]&gt;=260,Plot_Data_Power!F94,#N/A)</f>
        <v>#N/A</v>
      </c>
      <c r="U94" s="1" t="e">
        <f>IF(Table1[[#This Row],[Frequency (GHz)]]&lt;20,Plot_Data_Power!G94,#N/A)</f>
        <v>#N/A</v>
      </c>
      <c r="V94" s="1" t="e">
        <f>IF(AND(Table1[[#This Row],[Frequency (GHz)]]&gt;=20,Table1[[#This Row],[Frequency (GHz)]]&lt;50),Plot_Data_Power!G94,#N/A)</f>
        <v>#N/A</v>
      </c>
      <c r="W94" s="1" t="e">
        <f>IF(AND(Table1[[#This Row],[Frequency (GHz)]]&gt;=50,Table1[[#This Row],[Frequency (GHz)]]&lt;75),Plot_Data_Power!G94,#N/A)</f>
        <v>#N/A</v>
      </c>
      <c r="X94" s="1" t="e">
        <f>IF(AND(Table1[[#This Row],[Frequency (GHz)]]&gt;=75,Table1[[#This Row],[Frequency (GHz)]]&lt;110),Plot_Data_Power!G94,#N/A)</f>
        <v>#N/A</v>
      </c>
      <c r="Y94" s="1" t="e">
        <f>IF(AND(Table1[[#This Row],[Frequency (GHz)]]&gt;=110,Table1[[#This Row],[Frequency (GHz)]]&lt;170),Plot_Data_Power!G94,#N/A)</f>
        <v>#N/A</v>
      </c>
      <c r="Z94" s="1" t="e">
        <f>IF(AND(Table1[[#This Row],[Frequency (GHz)]]&gt;=170,Table1[[#This Row],[Frequency (GHz)]]&lt;260),Plot_Data_Power!G94,#N/A)</f>
        <v>#N/A</v>
      </c>
      <c r="AA94" s="1" t="e">
        <f>IF(Table1[[#This Row],[Frequency (GHz)]]&gt;=260,Plot_Data_Power!G94,#N/A)</f>
        <v>#N/A</v>
      </c>
      <c r="AD94" s="1" t="e">
        <f>IF(ISNUMBER(Table1[[#This Row],[Max Package Thermal Density (W/cm2)]]),Table1[[#This Row],[Max Package Thermal Density (W/cm2)]],#N/A)</f>
        <v>#N/A</v>
      </c>
      <c r="AE94" s="1" t="e">
        <f>IF(AND(ISNUMBER((Table1[[#This Row],[Max Package Thermal Density (W/cm2)]])),Table1[[#This Row],[Frequency (GHz)]]&lt;20),Table1[[#This Row],[Max Package Thermal Density (W/cm2)]],#N/A)</f>
        <v>#N/A</v>
      </c>
      <c r="AF94" s="1" t="e">
        <f>IF(AND(ISNUMBER(Table1[[#This Row],[Max Package Thermal Density (W/cm2)]]),Table1[[#This Row],[Frequency (GHz)]]&gt;=20,Table1[[#This Row],[Frequency (GHz)]]&lt;50),Table1[[#This Row],[Max Package Thermal Density (W/cm2)]],#N/A)</f>
        <v>#N/A</v>
      </c>
      <c r="AG94" s="1" t="e">
        <f>IF(AND(ISNUMBER(Table1[[#This Row],[Max Package Thermal Density (W/cm2)]]),Table1[[#This Row],[Frequency (GHz)]]&gt;=50,Table1[[#This Row],[Frequency (GHz)]]&lt;75),Table1[[#This Row],[Max Package Thermal Density (W/cm2)]],#N/A)</f>
        <v>#N/A</v>
      </c>
      <c r="AH94" s="1" t="e">
        <f>IF(AND(ISNUMBER(Table1[[#This Row],[Max Package Thermal Density (W/cm2)]]),Table1[[#This Row],[Frequency (GHz)]]&gt;=75,Table1[[#This Row],[Frequency (GHz)]]&lt;110),Table1[[#This Row],[Max Package Thermal Density (W/cm2)]],#N/A)</f>
        <v>#N/A</v>
      </c>
      <c r="AI94" s="1" t="e">
        <f>IF(AND(ISNUMBER(Table1[[#This Row],[Max Package Thermal Density (W/cm2)]]),Table1[[#This Row],[Frequency (GHz)]]&gt;=110,Table1[[#This Row],[Frequency (GHz)]]&lt;170),Table1[[#This Row],[Max Package Thermal Density (W/cm2)]],#N/A)</f>
        <v>#N/A</v>
      </c>
      <c r="AJ94" s="1" t="e">
        <f>IF(AND(ISNUMBER(Table1[[#This Row],[Max Package Thermal Density (W/cm2)]]),Table1[[#This Row],[Frequency (GHz)]]&gt;=170,Table1[[#This Row],[Frequency (GHz)]]&lt;260),Table1[[#This Row],[Max Package Thermal Density (W/cm2)]],#N/A)</f>
        <v>#N/A</v>
      </c>
      <c r="AK94" s="1" t="e">
        <f>IF(AND(ISNUMBER(Table1[[#This Row],[Max Package Thermal Density (W/cm2)]]),Table1[[#This Row],[Frequency (GHz)]]&gt;=260),Table1[[#This Row],[Max Package Thermal Density (W/cm2)]],#N/A)</f>
        <v>#N/A</v>
      </c>
      <c r="AN94" s="1">
        <f>IF(ISNUMBER(Table1[[#This Row],[Max Chip Thermal Density (W/cm2)]]),Table1[[#This Row],[Max Chip Thermal Density (W/cm2)]],#N/A)</f>
        <v>0.45333333333333331</v>
      </c>
      <c r="AO94" s="1" t="e">
        <f>IF(AND(ISNUMBER((Table1[[#This Row],[Max Chip Thermal Density (W/cm2)]])),Table1[[#This Row],[Frequency (GHz)]]&lt;20),Table1[[#This Row],[Max Chip Thermal Density (W/cm2)]],#N/A)</f>
        <v>#N/A</v>
      </c>
      <c r="AP94" s="1">
        <f>IF(AND(ISNUMBER(Table1[[#This Row],[Max Chip Thermal Density (W/cm2)]]),Table1[[#This Row],[Frequency (GHz)]]&gt;=20,Table1[[#This Row],[Frequency (GHz)]]&lt;50),Table1[[#This Row],[Max Chip Thermal Density (W/cm2)]],#N/A)</f>
        <v>0.45333333333333331</v>
      </c>
      <c r="AQ94" s="1" t="e">
        <f>IF(AND(ISNUMBER(Table1[[#This Row],[Max Chip Thermal Density (W/cm2)]]),Table1[[#This Row],[Frequency (GHz)]]&gt;=50,Table1[[#This Row],[Frequency (GHz)]]&lt;75),Table1[[#This Row],[Max Chip Thermal Density (W/cm2)]],#N/A)</f>
        <v>#N/A</v>
      </c>
      <c r="AR94" s="1" t="e">
        <f>IF(AND(ISNUMBER(Table1[[#This Row],[Max Chip Thermal Density (W/cm2)]]),Table1[[#This Row],[Frequency (GHz)]]&gt;=75,Table1[[#This Row],[Frequency (GHz)]]&lt;110),Table1[[#This Row],[Max Chip Thermal Density (W/cm2)]],#N/A)</f>
        <v>#N/A</v>
      </c>
      <c r="AS94" s="1" t="e">
        <f>IF(AND(ISNUMBER(Table1[[#This Row],[Max Chip Thermal Density (W/cm2)]]),Table1[[#This Row],[Frequency (GHz)]]&gt;=110,Table1[[#This Row],[Frequency (GHz)]]&lt;170),Table1[[#This Row],[Max Chip Thermal Density (W/cm2)]],#N/A)</f>
        <v>#N/A</v>
      </c>
      <c r="AT94" s="1" t="e">
        <f>IF(AND(ISNUMBER(Table1[[#This Row],[Max Chip Thermal Density (W/cm2)]]),Table1[[#This Row],[Frequency (GHz)]]&gt;=170,Table1[[#This Row],[Frequency (GHz)]]&lt;260),Table1[[#This Row],[Max Chip Thermal Density (W/cm2)]],#N/A)</f>
        <v>#N/A</v>
      </c>
      <c r="AU94" s="1" t="e">
        <f>IF(AND(ISNUMBER(Table1[[#This Row],[Max Chip Thermal Density (W/cm2)]]),Table1[[#This Row],[Frequency (GHz)]]&gt;=260),Table1[[#This Row],[Max Chip Thermal Density (W/cm2)]],#N/A)</f>
        <v>#N/A</v>
      </c>
    </row>
    <row r="95" spans="1:47" x14ac:dyDescent="0.2">
      <c r="A95" s="25" t="e">
        <f>IF(ISNUMBER(Table1[[#This Row],[Total Pout/Prad (dBm)]]),Table1[[#This Row],[Total Pout/Prad (dBm)]],#N/A)</f>
        <v>#N/A</v>
      </c>
      <c r="B95" s="1" t="e">
        <f>IF(ISNUMBER(Table1[[#This Row],[Total Pout/Prad (dBm)]]),Table1[[#This Row],[Total '# of TX Elements]],#N/A)</f>
        <v>#N/A</v>
      </c>
      <c r="C95" s="1" t="e">
        <f>IF(ISNUMBER(Table1[[#This Row],[TX EIRP (dBm)]]),Table1[[#This Row],[TX EIRP (dBm)]],#N/A)</f>
        <v>#N/A</v>
      </c>
      <c r="D95" s="1" t="str">
        <f>Table1[[#This Row],[TX Pdc (W)]]</f>
        <v>N/A</v>
      </c>
      <c r="E95"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95" s="1" t="e">
        <f t="shared" si="2"/>
        <v>#N/A</v>
      </c>
      <c r="G95" s="1" t="e">
        <f t="shared" si="3"/>
        <v>#N/A</v>
      </c>
      <c r="L95" s="1" t="e">
        <f>IF(Table1[[#This Row],[Frequency (GHz)]]&lt;20,Plot_Data_Power!F95,#N/A)</f>
        <v>#N/A</v>
      </c>
      <c r="M95" s="1" t="e">
        <f>IF(AND(Table1[[#This Row],[Frequency (GHz)]]&gt;=20,Table1[[#This Row],[Frequency (GHz)]]&lt;50),Plot_Data_Power!F95,#N/A)</f>
        <v>#N/A</v>
      </c>
      <c r="N95" s="1" t="e">
        <f>IF(AND(Table1[[#This Row],[Frequency (GHz)]]&gt;=50,Table1[[#This Row],[Frequency (GHz)]]&lt;75),Plot_Data_Power!F95,#N/A)</f>
        <v>#N/A</v>
      </c>
      <c r="O95" s="1" t="e">
        <f>IF(AND(Table1[[#This Row],[Frequency (GHz)]]&gt;=75,Table1[[#This Row],[Frequency (GHz)]]&lt;110),Plot_Data_Power!F95,#N/A)</f>
        <v>#N/A</v>
      </c>
      <c r="P95" s="1" t="e">
        <f>IF(AND(Table1[[#This Row],[Frequency (GHz)]]&gt;=110,Table1[[#This Row],[Frequency (GHz)]]&lt;170),Plot_Data_Power!F95,#N/A)</f>
        <v>#N/A</v>
      </c>
      <c r="Q95" s="1" t="e">
        <f>IF(AND(Table1[[#This Row],[Frequency (GHz)]]&gt;=170,Table1[[#This Row],[Frequency (GHz)]]&lt;260),Plot_Data_Power!F95,#N/A)</f>
        <v>#N/A</v>
      </c>
      <c r="R95" s="1" t="e">
        <f>IF(Table1[[#This Row],[Frequency (GHz)]]&gt;=260,Plot_Data_Power!F95,#N/A)</f>
        <v>#N/A</v>
      </c>
      <c r="U95" s="1" t="e">
        <f>IF(Table1[[#This Row],[Frequency (GHz)]]&lt;20,Plot_Data_Power!G95,#N/A)</f>
        <v>#N/A</v>
      </c>
      <c r="V95" s="1" t="e">
        <f>IF(AND(Table1[[#This Row],[Frequency (GHz)]]&gt;=20,Table1[[#This Row],[Frequency (GHz)]]&lt;50),Plot_Data_Power!G95,#N/A)</f>
        <v>#N/A</v>
      </c>
      <c r="W95" s="1" t="e">
        <f>IF(AND(Table1[[#This Row],[Frequency (GHz)]]&gt;=50,Table1[[#This Row],[Frequency (GHz)]]&lt;75),Plot_Data_Power!G95,#N/A)</f>
        <v>#N/A</v>
      </c>
      <c r="X95" s="1" t="e">
        <f>IF(AND(Table1[[#This Row],[Frequency (GHz)]]&gt;=75,Table1[[#This Row],[Frequency (GHz)]]&lt;110),Plot_Data_Power!G95,#N/A)</f>
        <v>#N/A</v>
      </c>
      <c r="Y95" s="1" t="e">
        <f>IF(AND(Table1[[#This Row],[Frequency (GHz)]]&gt;=110,Table1[[#This Row],[Frequency (GHz)]]&lt;170),Plot_Data_Power!G95,#N/A)</f>
        <v>#N/A</v>
      </c>
      <c r="Z95" s="1" t="e">
        <f>IF(AND(Table1[[#This Row],[Frequency (GHz)]]&gt;=170,Table1[[#This Row],[Frequency (GHz)]]&lt;260),Plot_Data_Power!G95,#N/A)</f>
        <v>#N/A</v>
      </c>
      <c r="AA95" s="1" t="e">
        <f>IF(Table1[[#This Row],[Frequency (GHz)]]&gt;=260,Plot_Data_Power!G95,#N/A)</f>
        <v>#N/A</v>
      </c>
      <c r="AD95" s="1" t="e">
        <f>IF(ISNUMBER(Table1[[#This Row],[Max Package Thermal Density (W/cm2)]]),Table1[[#This Row],[Max Package Thermal Density (W/cm2)]],#N/A)</f>
        <v>#N/A</v>
      </c>
      <c r="AE95" s="1" t="e">
        <f>IF(AND(ISNUMBER((Table1[[#This Row],[Max Package Thermal Density (W/cm2)]])),Table1[[#This Row],[Frequency (GHz)]]&lt;20),Table1[[#This Row],[Max Package Thermal Density (W/cm2)]],#N/A)</f>
        <v>#N/A</v>
      </c>
      <c r="AF95" s="1" t="e">
        <f>IF(AND(ISNUMBER(Table1[[#This Row],[Max Package Thermal Density (W/cm2)]]),Table1[[#This Row],[Frequency (GHz)]]&gt;=20,Table1[[#This Row],[Frequency (GHz)]]&lt;50),Table1[[#This Row],[Max Package Thermal Density (W/cm2)]],#N/A)</f>
        <v>#N/A</v>
      </c>
      <c r="AG95" s="1" t="e">
        <f>IF(AND(ISNUMBER(Table1[[#This Row],[Max Package Thermal Density (W/cm2)]]),Table1[[#This Row],[Frequency (GHz)]]&gt;=50,Table1[[#This Row],[Frequency (GHz)]]&lt;75),Table1[[#This Row],[Max Package Thermal Density (W/cm2)]],#N/A)</f>
        <v>#N/A</v>
      </c>
      <c r="AH95" s="1" t="e">
        <f>IF(AND(ISNUMBER(Table1[[#This Row],[Max Package Thermal Density (W/cm2)]]),Table1[[#This Row],[Frequency (GHz)]]&gt;=75,Table1[[#This Row],[Frequency (GHz)]]&lt;110),Table1[[#This Row],[Max Package Thermal Density (W/cm2)]],#N/A)</f>
        <v>#N/A</v>
      </c>
      <c r="AI95" s="1" t="e">
        <f>IF(AND(ISNUMBER(Table1[[#This Row],[Max Package Thermal Density (W/cm2)]]),Table1[[#This Row],[Frequency (GHz)]]&gt;=110,Table1[[#This Row],[Frequency (GHz)]]&lt;170),Table1[[#This Row],[Max Package Thermal Density (W/cm2)]],#N/A)</f>
        <v>#N/A</v>
      </c>
      <c r="AJ95" s="1" t="e">
        <f>IF(AND(ISNUMBER(Table1[[#This Row],[Max Package Thermal Density (W/cm2)]]),Table1[[#This Row],[Frequency (GHz)]]&gt;=170,Table1[[#This Row],[Frequency (GHz)]]&lt;260),Table1[[#This Row],[Max Package Thermal Density (W/cm2)]],#N/A)</f>
        <v>#N/A</v>
      </c>
      <c r="AK95" s="1" t="e">
        <f>IF(AND(ISNUMBER(Table1[[#This Row],[Max Package Thermal Density (W/cm2)]]),Table1[[#This Row],[Frequency (GHz)]]&gt;=260),Table1[[#This Row],[Max Package Thermal Density (W/cm2)]],#N/A)</f>
        <v>#N/A</v>
      </c>
      <c r="AN95" s="1">
        <f>IF(ISNUMBER(Table1[[#This Row],[Max Chip Thermal Density (W/cm2)]]),Table1[[#This Row],[Max Chip Thermal Density (W/cm2)]],#N/A)</f>
        <v>86.666666666666671</v>
      </c>
      <c r="AO95" s="1" t="e">
        <f>IF(AND(ISNUMBER((Table1[[#This Row],[Max Chip Thermal Density (W/cm2)]])),Table1[[#This Row],[Frequency (GHz)]]&lt;20),Table1[[#This Row],[Max Chip Thermal Density (W/cm2)]],#N/A)</f>
        <v>#N/A</v>
      </c>
      <c r="AP95" s="1" t="e">
        <f>IF(AND(ISNUMBER(Table1[[#This Row],[Max Chip Thermal Density (W/cm2)]]),Table1[[#This Row],[Frequency (GHz)]]&gt;=20,Table1[[#This Row],[Frequency (GHz)]]&lt;50),Table1[[#This Row],[Max Chip Thermal Density (W/cm2)]],#N/A)</f>
        <v>#N/A</v>
      </c>
      <c r="AQ95" s="1" t="e">
        <f>IF(AND(ISNUMBER(Table1[[#This Row],[Max Chip Thermal Density (W/cm2)]]),Table1[[#This Row],[Frequency (GHz)]]&gt;=50,Table1[[#This Row],[Frequency (GHz)]]&lt;75),Table1[[#This Row],[Max Chip Thermal Density (W/cm2)]],#N/A)</f>
        <v>#N/A</v>
      </c>
      <c r="AR95" s="1" t="e">
        <f>IF(AND(ISNUMBER(Table1[[#This Row],[Max Chip Thermal Density (W/cm2)]]),Table1[[#This Row],[Frequency (GHz)]]&gt;=75,Table1[[#This Row],[Frequency (GHz)]]&lt;110),Table1[[#This Row],[Max Chip Thermal Density (W/cm2)]],#N/A)</f>
        <v>#N/A</v>
      </c>
      <c r="AS95" s="1" t="e">
        <f>IF(AND(ISNUMBER(Table1[[#This Row],[Max Chip Thermal Density (W/cm2)]]),Table1[[#This Row],[Frequency (GHz)]]&gt;=110,Table1[[#This Row],[Frequency (GHz)]]&lt;170),Table1[[#This Row],[Max Chip Thermal Density (W/cm2)]],#N/A)</f>
        <v>#N/A</v>
      </c>
      <c r="AT95" s="1" t="e">
        <f>IF(AND(ISNUMBER(Table1[[#This Row],[Max Chip Thermal Density (W/cm2)]]),Table1[[#This Row],[Frequency (GHz)]]&gt;=170,Table1[[#This Row],[Frequency (GHz)]]&lt;260),Table1[[#This Row],[Max Chip Thermal Density (W/cm2)]],#N/A)</f>
        <v>#N/A</v>
      </c>
      <c r="AU95" s="1">
        <f>IF(AND(ISNUMBER(Table1[[#This Row],[Max Chip Thermal Density (W/cm2)]]),Table1[[#This Row],[Frequency (GHz)]]&gt;=260),Table1[[#This Row],[Max Chip Thermal Density (W/cm2)]],#N/A)</f>
        <v>86.666666666666671</v>
      </c>
    </row>
    <row r="96" spans="1:47" x14ac:dyDescent="0.2">
      <c r="A96" s="25" t="e">
        <f>IF(ISNUMBER(Table1[[#This Row],[Total Pout/Prad (dBm)]]),Table1[[#This Row],[Total Pout/Prad (dBm)]],#N/A)</f>
        <v>#N/A</v>
      </c>
      <c r="B96" s="1" t="e">
        <f>IF(ISNUMBER(Table1[[#This Row],[Total Pout/Prad (dBm)]]),Table1[[#This Row],[Total '# of TX Elements]],#N/A)</f>
        <v>#N/A</v>
      </c>
      <c r="C96" s="1">
        <f>IF(ISNUMBER(Table1[[#This Row],[TX EIRP (dBm)]]),Table1[[#This Row],[TX EIRP (dBm)]],#N/A)</f>
        <v>-13.5</v>
      </c>
      <c r="D96" s="1">
        <f>Table1[[#This Row],[TX Pdc (W)]]</f>
        <v>8.5800000000000015E-2</v>
      </c>
      <c r="E96" s="1">
        <f>IF(ISNUMBER(Table1[[#This Row],[Array Aperture Size (cm2)]]),Table1[[#This Row],[Array Aperture Size (cm2)]],IF(Table1[[#This Row],[Antenna on (None, Chip, AiP, PCB)]]="Chip",Table1[[#This Row],[Chip Core Size - X (mm)]]*Table1[[#This Row],[Chip Core Size -Y (mm)]]/100*Table1[[#This Row],['# of IC per Tile]]*Table1[[#This Row],['# of Array Tile]],#N/A))</f>
        <v>4.2635999999999993E-3</v>
      </c>
      <c r="F96" s="1" t="e">
        <f t="shared" si="2"/>
        <v>#N/A</v>
      </c>
      <c r="G96" s="1">
        <f t="shared" si="3"/>
        <v>5.2061024726219443E-2</v>
      </c>
      <c r="L96" s="1" t="e">
        <f>IF(Table1[[#This Row],[Frequency (GHz)]]&lt;20,Plot_Data_Power!F96,#N/A)</f>
        <v>#N/A</v>
      </c>
      <c r="M96" s="1" t="e">
        <f>IF(AND(Table1[[#This Row],[Frequency (GHz)]]&gt;=20,Table1[[#This Row],[Frequency (GHz)]]&lt;50),Plot_Data_Power!F96,#N/A)</f>
        <v>#N/A</v>
      </c>
      <c r="N96" s="1" t="e">
        <f>IF(AND(Table1[[#This Row],[Frequency (GHz)]]&gt;=50,Table1[[#This Row],[Frequency (GHz)]]&lt;75),Plot_Data_Power!F96,#N/A)</f>
        <v>#N/A</v>
      </c>
      <c r="O96" s="1" t="e">
        <f>IF(AND(Table1[[#This Row],[Frequency (GHz)]]&gt;=75,Table1[[#This Row],[Frequency (GHz)]]&lt;110),Plot_Data_Power!F96,#N/A)</f>
        <v>#N/A</v>
      </c>
      <c r="P96" s="1" t="e">
        <f>IF(AND(Table1[[#This Row],[Frequency (GHz)]]&gt;=110,Table1[[#This Row],[Frequency (GHz)]]&lt;170),Plot_Data_Power!F96,#N/A)</f>
        <v>#N/A</v>
      </c>
      <c r="Q96" s="1" t="e">
        <f>IF(AND(Table1[[#This Row],[Frequency (GHz)]]&gt;=170,Table1[[#This Row],[Frequency (GHz)]]&lt;260),Plot_Data_Power!F96,#N/A)</f>
        <v>#N/A</v>
      </c>
      <c r="R96" s="1" t="e">
        <f>IF(Table1[[#This Row],[Frequency (GHz)]]&gt;=260,Plot_Data_Power!F96,#N/A)</f>
        <v>#N/A</v>
      </c>
      <c r="U96" s="1" t="e">
        <f>IF(Table1[[#This Row],[Frequency (GHz)]]&lt;20,Plot_Data_Power!G96,#N/A)</f>
        <v>#N/A</v>
      </c>
      <c r="V96" s="1" t="e">
        <f>IF(AND(Table1[[#This Row],[Frequency (GHz)]]&gt;=20,Table1[[#This Row],[Frequency (GHz)]]&lt;50),Plot_Data_Power!G96,#N/A)</f>
        <v>#N/A</v>
      </c>
      <c r="W96" s="1" t="e">
        <f>IF(AND(Table1[[#This Row],[Frequency (GHz)]]&gt;=50,Table1[[#This Row],[Frequency (GHz)]]&lt;75),Plot_Data_Power!G96,#N/A)</f>
        <v>#N/A</v>
      </c>
      <c r="X96" s="1" t="e">
        <f>IF(AND(Table1[[#This Row],[Frequency (GHz)]]&gt;=75,Table1[[#This Row],[Frequency (GHz)]]&lt;110),Plot_Data_Power!G96,#N/A)</f>
        <v>#N/A</v>
      </c>
      <c r="Y96" s="1" t="e">
        <f>IF(AND(Table1[[#This Row],[Frequency (GHz)]]&gt;=110,Table1[[#This Row],[Frequency (GHz)]]&lt;170),Plot_Data_Power!G96,#N/A)</f>
        <v>#N/A</v>
      </c>
      <c r="Z96" s="1" t="e">
        <f>IF(AND(Table1[[#This Row],[Frequency (GHz)]]&gt;=170,Table1[[#This Row],[Frequency (GHz)]]&lt;260),Plot_Data_Power!G96,#N/A)</f>
        <v>#N/A</v>
      </c>
      <c r="AA96" s="1">
        <f>IF(Table1[[#This Row],[Frequency (GHz)]]&gt;=260,Plot_Data_Power!G96,#N/A)</f>
        <v>5.2061024726219443E-2</v>
      </c>
      <c r="AD96" s="1" t="e">
        <f>IF(ISNUMBER(Table1[[#This Row],[Max Package Thermal Density (W/cm2)]]),Table1[[#This Row],[Max Package Thermal Density (W/cm2)]],#N/A)</f>
        <v>#N/A</v>
      </c>
      <c r="AE96" s="1" t="e">
        <f>IF(AND(ISNUMBER((Table1[[#This Row],[Max Package Thermal Density (W/cm2)]])),Table1[[#This Row],[Frequency (GHz)]]&lt;20),Table1[[#This Row],[Max Package Thermal Density (W/cm2)]],#N/A)</f>
        <v>#N/A</v>
      </c>
      <c r="AF96" s="1" t="e">
        <f>IF(AND(ISNUMBER(Table1[[#This Row],[Max Package Thermal Density (W/cm2)]]),Table1[[#This Row],[Frequency (GHz)]]&gt;=20,Table1[[#This Row],[Frequency (GHz)]]&lt;50),Table1[[#This Row],[Max Package Thermal Density (W/cm2)]],#N/A)</f>
        <v>#N/A</v>
      </c>
      <c r="AG96" s="1" t="e">
        <f>IF(AND(ISNUMBER(Table1[[#This Row],[Max Package Thermal Density (W/cm2)]]),Table1[[#This Row],[Frequency (GHz)]]&gt;=50,Table1[[#This Row],[Frequency (GHz)]]&lt;75),Table1[[#This Row],[Max Package Thermal Density (W/cm2)]],#N/A)</f>
        <v>#N/A</v>
      </c>
      <c r="AH96" s="1" t="e">
        <f>IF(AND(ISNUMBER(Table1[[#This Row],[Max Package Thermal Density (W/cm2)]]),Table1[[#This Row],[Frequency (GHz)]]&gt;=75,Table1[[#This Row],[Frequency (GHz)]]&lt;110),Table1[[#This Row],[Max Package Thermal Density (W/cm2)]],#N/A)</f>
        <v>#N/A</v>
      </c>
      <c r="AI96" s="1" t="e">
        <f>IF(AND(ISNUMBER(Table1[[#This Row],[Max Package Thermal Density (W/cm2)]]),Table1[[#This Row],[Frequency (GHz)]]&gt;=110,Table1[[#This Row],[Frequency (GHz)]]&lt;170),Table1[[#This Row],[Max Package Thermal Density (W/cm2)]],#N/A)</f>
        <v>#N/A</v>
      </c>
      <c r="AJ96" s="1" t="e">
        <f>IF(AND(ISNUMBER(Table1[[#This Row],[Max Package Thermal Density (W/cm2)]]),Table1[[#This Row],[Frequency (GHz)]]&gt;=170,Table1[[#This Row],[Frequency (GHz)]]&lt;260),Table1[[#This Row],[Max Package Thermal Density (W/cm2)]],#N/A)</f>
        <v>#N/A</v>
      </c>
      <c r="AK96" s="1" t="e">
        <f>IF(AND(ISNUMBER(Table1[[#This Row],[Max Package Thermal Density (W/cm2)]]),Table1[[#This Row],[Frequency (GHz)]]&gt;=260),Table1[[#This Row],[Max Package Thermal Density (W/cm2)]],#N/A)</f>
        <v>#N/A</v>
      </c>
      <c r="AN96" s="1">
        <f>IF(ISNUMBER(Table1[[#This Row],[Max Chip Thermal Density (W/cm2)]]),Table1[[#This Row],[Max Chip Thermal Density (W/cm2)]],#N/A)</f>
        <v>5.5512422360248452</v>
      </c>
      <c r="AO96" s="1" t="e">
        <f>IF(AND(ISNUMBER((Table1[[#This Row],[Max Chip Thermal Density (W/cm2)]])),Table1[[#This Row],[Frequency (GHz)]]&lt;20),Table1[[#This Row],[Max Chip Thermal Density (W/cm2)]],#N/A)</f>
        <v>#N/A</v>
      </c>
      <c r="AP96" s="1" t="e">
        <f>IF(AND(ISNUMBER(Table1[[#This Row],[Max Chip Thermal Density (W/cm2)]]),Table1[[#This Row],[Frequency (GHz)]]&gt;=20,Table1[[#This Row],[Frequency (GHz)]]&lt;50),Table1[[#This Row],[Max Chip Thermal Density (W/cm2)]],#N/A)</f>
        <v>#N/A</v>
      </c>
      <c r="AQ96" s="1" t="e">
        <f>IF(AND(ISNUMBER(Table1[[#This Row],[Max Chip Thermal Density (W/cm2)]]),Table1[[#This Row],[Frequency (GHz)]]&gt;=50,Table1[[#This Row],[Frequency (GHz)]]&lt;75),Table1[[#This Row],[Max Chip Thermal Density (W/cm2)]],#N/A)</f>
        <v>#N/A</v>
      </c>
      <c r="AR96" s="1" t="e">
        <f>IF(AND(ISNUMBER(Table1[[#This Row],[Max Chip Thermal Density (W/cm2)]]),Table1[[#This Row],[Frequency (GHz)]]&gt;=75,Table1[[#This Row],[Frequency (GHz)]]&lt;110),Table1[[#This Row],[Max Chip Thermal Density (W/cm2)]],#N/A)</f>
        <v>#N/A</v>
      </c>
      <c r="AS96" s="1" t="e">
        <f>IF(AND(ISNUMBER(Table1[[#This Row],[Max Chip Thermal Density (W/cm2)]]),Table1[[#This Row],[Frequency (GHz)]]&gt;=110,Table1[[#This Row],[Frequency (GHz)]]&lt;170),Table1[[#This Row],[Max Chip Thermal Density (W/cm2)]],#N/A)</f>
        <v>#N/A</v>
      </c>
      <c r="AT96" s="1" t="e">
        <f>IF(AND(ISNUMBER(Table1[[#This Row],[Max Chip Thermal Density (W/cm2)]]),Table1[[#This Row],[Frequency (GHz)]]&gt;=170,Table1[[#This Row],[Frequency (GHz)]]&lt;260),Table1[[#This Row],[Max Chip Thermal Density (W/cm2)]],#N/A)</f>
        <v>#N/A</v>
      </c>
      <c r="AU96" s="1">
        <f>IF(AND(ISNUMBER(Table1[[#This Row],[Max Chip Thermal Density (W/cm2)]]),Table1[[#This Row],[Frequency (GHz)]]&gt;=260),Table1[[#This Row],[Max Chip Thermal Density (W/cm2)]],#N/A)</f>
        <v>5.5512422360248452</v>
      </c>
    </row>
    <row r="97" spans="1:47" x14ac:dyDescent="0.2">
      <c r="A97" s="25">
        <f>IF(ISNUMBER(Table1[[#This Row],[Total Pout/Prad (dBm)]]),Table1[[#This Row],[Total Pout/Prad (dBm)]],#N/A)</f>
        <v>1.5000000000000002</v>
      </c>
      <c r="B97" s="1">
        <f>IF(ISNUMBER(Table1[[#This Row],[Total Pout/Prad (dBm)]]),Table1[[#This Row],[Total '# of TX Elements]],#N/A)</f>
        <v>1</v>
      </c>
      <c r="C97" s="1" t="e">
        <f>IF(ISNUMBER(Table1[[#This Row],[TX EIRP (dBm)]]),Table1[[#This Row],[TX EIRP (dBm)]],#N/A)</f>
        <v>#N/A</v>
      </c>
      <c r="D97" s="1">
        <f>Table1[[#This Row],[TX Pdc (W)]]</f>
        <v>0.17299999999999999</v>
      </c>
      <c r="E97"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97" s="1">
        <f t="shared" si="2"/>
        <v>0.81649569053338422</v>
      </c>
      <c r="G97" s="1" t="e">
        <f t="shared" si="3"/>
        <v>#N/A</v>
      </c>
      <c r="L97" s="1" t="e">
        <f>IF(Table1[[#This Row],[Frequency (GHz)]]&lt;20,Plot_Data_Power!F97,#N/A)</f>
        <v>#N/A</v>
      </c>
      <c r="M97" s="1" t="e">
        <f>IF(AND(Table1[[#This Row],[Frequency (GHz)]]&gt;=20,Table1[[#This Row],[Frequency (GHz)]]&lt;50),Plot_Data_Power!F97,#N/A)</f>
        <v>#N/A</v>
      </c>
      <c r="N97" s="1" t="e">
        <f>IF(AND(Table1[[#This Row],[Frequency (GHz)]]&gt;=50,Table1[[#This Row],[Frequency (GHz)]]&lt;75),Plot_Data_Power!F97,#N/A)</f>
        <v>#N/A</v>
      </c>
      <c r="O97" s="1" t="e">
        <f>IF(AND(Table1[[#This Row],[Frequency (GHz)]]&gt;=75,Table1[[#This Row],[Frequency (GHz)]]&lt;110),Plot_Data_Power!F97,#N/A)</f>
        <v>#N/A</v>
      </c>
      <c r="P97" s="1">
        <f>IF(AND(Table1[[#This Row],[Frequency (GHz)]]&gt;=110,Table1[[#This Row],[Frequency (GHz)]]&lt;170),Plot_Data_Power!F97,#N/A)</f>
        <v>0.81649569053338422</v>
      </c>
      <c r="Q97" s="1" t="e">
        <f>IF(AND(Table1[[#This Row],[Frequency (GHz)]]&gt;=170,Table1[[#This Row],[Frequency (GHz)]]&lt;260),Plot_Data_Power!F97,#N/A)</f>
        <v>#N/A</v>
      </c>
      <c r="R97" s="1" t="e">
        <f>IF(Table1[[#This Row],[Frequency (GHz)]]&gt;=260,Plot_Data_Power!F97,#N/A)</f>
        <v>#N/A</v>
      </c>
      <c r="U97" s="1" t="e">
        <f>IF(Table1[[#This Row],[Frequency (GHz)]]&lt;20,Plot_Data_Power!G97,#N/A)</f>
        <v>#N/A</v>
      </c>
      <c r="V97" s="1" t="e">
        <f>IF(AND(Table1[[#This Row],[Frequency (GHz)]]&gt;=20,Table1[[#This Row],[Frequency (GHz)]]&lt;50),Plot_Data_Power!G97,#N/A)</f>
        <v>#N/A</v>
      </c>
      <c r="W97" s="1" t="e">
        <f>IF(AND(Table1[[#This Row],[Frequency (GHz)]]&gt;=50,Table1[[#This Row],[Frequency (GHz)]]&lt;75),Plot_Data_Power!G97,#N/A)</f>
        <v>#N/A</v>
      </c>
      <c r="X97" s="1" t="e">
        <f>IF(AND(Table1[[#This Row],[Frequency (GHz)]]&gt;=75,Table1[[#This Row],[Frequency (GHz)]]&lt;110),Plot_Data_Power!G97,#N/A)</f>
        <v>#N/A</v>
      </c>
      <c r="Y97" s="1" t="e">
        <f>IF(AND(Table1[[#This Row],[Frequency (GHz)]]&gt;=110,Table1[[#This Row],[Frequency (GHz)]]&lt;170),Plot_Data_Power!G97,#N/A)</f>
        <v>#N/A</v>
      </c>
      <c r="Z97" s="1" t="e">
        <f>IF(AND(Table1[[#This Row],[Frequency (GHz)]]&gt;=170,Table1[[#This Row],[Frequency (GHz)]]&lt;260),Plot_Data_Power!G97,#N/A)</f>
        <v>#N/A</v>
      </c>
      <c r="AA97" s="1" t="e">
        <f>IF(Table1[[#This Row],[Frequency (GHz)]]&gt;=260,Plot_Data_Power!G97,#N/A)</f>
        <v>#N/A</v>
      </c>
      <c r="AD97" s="1" t="e">
        <f>IF(ISNUMBER(Table1[[#This Row],[Max Package Thermal Density (W/cm2)]]),Table1[[#This Row],[Max Package Thermal Density (W/cm2)]],#N/A)</f>
        <v>#N/A</v>
      </c>
      <c r="AE97" s="1" t="e">
        <f>IF(AND(ISNUMBER((Table1[[#This Row],[Max Package Thermal Density (W/cm2)]])),Table1[[#This Row],[Frequency (GHz)]]&lt;20),Table1[[#This Row],[Max Package Thermal Density (W/cm2)]],#N/A)</f>
        <v>#N/A</v>
      </c>
      <c r="AF97" s="1" t="e">
        <f>IF(AND(ISNUMBER(Table1[[#This Row],[Max Package Thermal Density (W/cm2)]]),Table1[[#This Row],[Frequency (GHz)]]&gt;=20,Table1[[#This Row],[Frequency (GHz)]]&lt;50),Table1[[#This Row],[Max Package Thermal Density (W/cm2)]],#N/A)</f>
        <v>#N/A</v>
      </c>
      <c r="AG97" s="1" t="e">
        <f>IF(AND(ISNUMBER(Table1[[#This Row],[Max Package Thermal Density (W/cm2)]]),Table1[[#This Row],[Frequency (GHz)]]&gt;=50,Table1[[#This Row],[Frequency (GHz)]]&lt;75),Table1[[#This Row],[Max Package Thermal Density (W/cm2)]],#N/A)</f>
        <v>#N/A</v>
      </c>
      <c r="AH97" s="1" t="e">
        <f>IF(AND(ISNUMBER(Table1[[#This Row],[Max Package Thermal Density (W/cm2)]]),Table1[[#This Row],[Frequency (GHz)]]&gt;=75,Table1[[#This Row],[Frequency (GHz)]]&lt;110),Table1[[#This Row],[Max Package Thermal Density (W/cm2)]],#N/A)</f>
        <v>#N/A</v>
      </c>
      <c r="AI97" s="1" t="e">
        <f>IF(AND(ISNUMBER(Table1[[#This Row],[Max Package Thermal Density (W/cm2)]]),Table1[[#This Row],[Frequency (GHz)]]&gt;=110,Table1[[#This Row],[Frequency (GHz)]]&lt;170),Table1[[#This Row],[Max Package Thermal Density (W/cm2)]],#N/A)</f>
        <v>#N/A</v>
      </c>
      <c r="AJ97" s="1" t="e">
        <f>IF(AND(ISNUMBER(Table1[[#This Row],[Max Package Thermal Density (W/cm2)]]),Table1[[#This Row],[Frequency (GHz)]]&gt;=170,Table1[[#This Row],[Frequency (GHz)]]&lt;260),Table1[[#This Row],[Max Package Thermal Density (W/cm2)]],#N/A)</f>
        <v>#N/A</v>
      </c>
      <c r="AK97" s="1" t="e">
        <f>IF(AND(ISNUMBER(Table1[[#This Row],[Max Package Thermal Density (W/cm2)]]),Table1[[#This Row],[Frequency (GHz)]]&gt;=260),Table1[[#This Row],[Max Package Thermal Density (W/cm2)]],#N/A)</f>
        <v>#N/A</v>
      </c>
      <c r="AN97" s="1">
        <f>IF(ISNUMBER(Table1[[#This Row],[Max Chip Thermal Density (W/cm2)]]),Table1[[#This Row],[Max Chip Thermal Density (W/cm2)]],#N/A)</f>
        <v>4.3249999999999993</v>
      </c>
      <c r="AO97" s="1" t="e">
        <f>IF(AND(ISNUMBER((Table1[[#This Row],[Max Chip Thermal Density (W/cm2)]])),Table1[[#This Row],[Frequency (GHz)]]&lt;20),Table1[[#This Row],[Max Chip Thermal Density (W/cm2)]],#N/A)</f>
        <v>#N/A</v>
      </c>
      <c r="AP97" s="1" t="e">
        <f>IF(AND(ISNUMBER(Table1[[#This Row],[Max Chip Thermal Density (W/cm2)]]),Table1[[#This Row],[Frequency (GHz)]]&gt;=20,Table1[[#This Row],[Frequency (GHz)]]&lt;50),Table1[[#This Row],[Max Chip Thermal Density (W/cm2)]],#N/A)</f>
        <v>#N/A</v>
      </c>
      <c r="AQ97" s="1" t="e">
        <f>IF(AND(ISNUMBER(Table1[[#This Row],[Max Chip Thermal Density (W/cm2)]]),Table1[[#This Row],[Frequency (GHz)]]&gt;=50,Table1[[#This Row],[Frequency (GHz)]]&lt;75),Table1[[#This Row],[Max Chip Thermal Density (W/cm2)]],#N/A)</f>
        <v>#N/A</v>
      </c>
      <c r="AR97" s="1" t="e">
        <f>IF(AND(ISNUMBER(Table1[[#This Row],[Max Chip Thermal Density (W/cm2)]]),Table1[[#This Row],[Frequency (GHz)]]&gt;=75,Table1[[#This Row],[Frequency (GHz)]]&lt;110),Table1[[#This Row],[Max Chip Thermal Density (W/cm2)]],#N/A)</f>
        <v>#N/A</v>
      </c>
      <c r="AS97" s="1">
        <f>IF(AND(ISNUMBER(Table1[[#This Row],[Max Chip Thermal Density (W/cm2)]]),Table1[[#This Row],[Frequency (GHz)]]&gt;=110,Table1[[#This Row],[Frequency (GHz)]]&lt;170),Table1[[#This Row],[Max Chip Thermal Density (W/cm2)]],#N/A)</f>
        <v>4.3249999999999993</v>
      </c>
      <c r="AT97" s="1" t="e">
        <f>IF(AND(ISNUMBER(Table1[[#This Row],[Max Chip Thermal Density (W/cm2)]]),Table1[[#This Row],[Frequency (GHz)]]&gt;=170,Table1[[#This Row],[Frequency (GHz)]]&lt;260),Table1[[#This Row],[Max Chip Thermal Density (W/cm2)]],#N/A)</f>
        <v>#N/A</v>
      </c>
      <c r="AU97" s="1" t="e">
        <f>IF(AND(ISNUMBER(Table1[[#This Row],[Max Chip Thermal Density (W/cm2)]]),Table1[[#This Row],[Frequency (GHz)]]&gt;=260),Table1[[#This Row],[Max Chip Thermal Density (W/cm2)]],#N/A)</f>
        <v>#N/A</v>
      </c>
    </row>
    <row r="98" spans="1:47" x14ac:dyDescent="0.2">
      <c r="A98" s="25">
        <f>IF(ISNUMBER(Table1[[#This Row],[Total Pout/Prad (dBm)]]),Table1[[#This Row],[Total Pout/Prad (dBm)]],#N/A)</f>
        <v>19.030899869919434</v>
      </c>
      <c r="B98" s="1">
        <f>IF(ISNUMBER(Table1[[#This Row],[Total Pout/Prad (dBm)]]),Table1[[#This Row],[Total '# of TX Elements]],#N/A)</f>
        <v>8</v>
      </c>
      <c r="C98" s="1">
        <f>IF(ISNUMBER(Table1[[#This Row],[TX EIRP (dBm)]]),Table1[[#This Row],[TX EIRP (dBm)]],#N/A)</f>
        <v>32</v>
      </c>
      <c r="D98" s="1">
        <f>Table1[[#This Row],[TX Pdc (W)]]</f>
        <v>1.8480000000000001</v>
      </c>
      <c r="E98"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98" s="1">
        <f t="shared" si="2"/>
        <v>4.3290043290043272</v>
      </c>
      <c r="G98" s="1">
        <f t="shared" si="3"/>
        <v>85.762618639670748</v>
      </c>
      <c r="L98" s="1" t="e">
        <f>IF(Table1[[#This Row],[Frequency (GHz)]]&lt;20,Plot_Data_Power!F98,#N/A)</f>
        <v>#N/A</v>
      </c>
      <c r="M98" s="1" t="e">
        <f>IF(AND(Table1[[#This Row],[Frequency (GHz)]]&gt;=20,Table1[[#This Row],[Frequency (GHz)]]&lt;50),Plot_Data_Power!F98,#N/A)</f>
        <v>#N/A</v>
      </c>
      <c r="N98" s="1" t="e">
        <f>IF(AND(Table1[[#This Row],[Frequency (GHz)]]&gt;=50,Table1[[#This Row],[Frequency (GHz)]]&lt;75),Plot_Data_Power!F98,#N/A)</f>
        <v>#N/A</v>
      </c>
      <c r="O98" s="1" t="e">
        <f>IF(AND(Table1[[#This Row],[Frequency (GHz)]]&gt;=75,Table1[[#This Row],[Frequency (GHz)]]&lt;110),Plot_Data_Power!F98,#N/A)</f>
        <v>#N/A</v>
      </c>
      <c r="P98" s="1">
        <f>IF(AND(Table1[[#This Row],[Frequency (GHz)]]&gt;=110,Table1[[#This Row],[Frequency (GHz)]]&lt;170),Plot_Data_Power!F98,#N/A)</f>
        <v>4.3290043290043272</v>
      </c>
      <c r="Q98" s="1" t="e">
        <f>IF(AND(Table1[[#This Row],[Frequency (GHz)]]&gt;=170,Table1[[#This Row],[Frequency (GHz)]]&lt;260),Plot_Data_Power!F98,#N/A)</f>
        <v>#N/A</v>
      </c>
      <c r="R98" s="1" t="e">
        <f>IF(Table1[[#This Row],[Frequency (GHz)]]&gt;=260,Plot_Data_Power!F98,#N/A)</f>
        <v>#N/A</v>
      </c>
      <c r="U98" s="1" t="e">
        <f>IF(Table1[[#This Row],[Frequency (GHz)]]&lt;20,Plot_Data_Power!G98,#N/A)</f>
        <v>#N/A</v>
      </c>
      <c r="V98" s="1" t="e">
        <f>IF(AND(Table1[[#This Row],[Frequency (GHz)]]&gt;=20,Table1[[#This Row],[Frequency (GHz)]]&lt;50),Plot_Data_Power!G98,#N/A)</f>
        <v>#N/A</v>
      </c>
      <c r="W98" s="1" t="e">
        <f>IF(AND(Table1[[#This Row],[Frequency (GHz)]]&gt;=50,Table1[[#This Row],[Frequency (GHz)]]&lt;75),Plot_Data_Power!G98,#N/A)</f>
        <v>#N/A</v>
      </c>
      <c r="X98" s="1" t="e">
        <f>IF(AND(Table1[[#This Row],[Frequency (GHz)]]&gt;=75,Table1[[#This Row],[Frequency (GHz)]]&lt;110),Plot_Data_Power!G98,#N/A)</f>
        <v>#N/A</v>
      </c>
      <c r="Y98" s="1">
        <f>IF(AND(Table1[[#This Row],[Frequency (GHz)]]&gt;=110,Table1[[#This Row],[Frequency (GHz)]]&lt;170),Plot_Data_Power!G98,#N/A)</f>
        <v>85.762618639670748</v>
      </c>
      <c r="Z98" s="1" t="e">
        <f>IF(AND(Table1[[#This Row],[Frequency (GHz)]]&gt;=170,Table1[[#This Row],[Frequency (GHz)]]&lt;260),Plot_Data_Power!G98,#N/A)</f>
        <v>#N/A</v>
      </c>
      <c r="AA98" s="1" t="e">
        <f>IF(Table1[[#This Row],[Frequency (GHz)]]&gt;=260,Plot_Data_Power!G98,#N/A)</f>
        <v>#N/A</v>
      </c>
      <c r="AD98" s="1" t="e">
        <f>IF(ISNUMBER(Table1[[#This Row],[Max Package Thermal Density (W/cm2)]]),Table1[[#This Row],[Max Package Thermal Density (W/cm2)]],#N/A)</f>
        <v>#N/A</v>
      </c>
      <c r="AE98" s="1" t="e">
        <f>IF(AND(ISNUMBER((Table1[[#This Row],[Max Package Thermal Density (W/cm2)]])),Table1[[#This Row],[Frequency (GHz)]]&lt;20),Table1[[#This Row],[Max Package Thermal Density (W/cm2)]],#N/A)</f>
        <v>#N/A</v>
      </c>
      <c r="AF98" s="1" t="e">
        <f>IF(AND(ISNUMBER(Table1[[#This Row],[Max Package Thermal Density (W/cm2)]]),Table1[[#This Row],[Frequency (GHz)]]&gt;=20,Table1[[#This Row],[Frequency (GHz)]]&lt;50),Table1[[#This Row],[Max Package Thermal Density (W/cm2)]],#N/A)</f>
        <v>#N/A</v>
      </c>
      <c r="AG98" s="1" t="e">
        <f>IF(AND(ISNUMBER(Table1[[#This Row],[Max Package Thermal Density (W/cm2)]]),Table1[[#This Row],[Frequency (GHz)]]&gt;=50,Table1[[#This Row],[Frequency (GHz)]]&lt;75),Table1[[#This Row],[Max Package Thermal Density (W/cm2)]],#N/A)</f>
        <v>#N/A</v>
      </c>
      <c r="AH98" s="1" t="e">
        <f>IF(AND(ISNUMBER(Table1[[#This Row],[Max Package Thermal Density (W/cm2)]]),Table1[[#This Row],[Frequency (GHz)]]&gt;=75,Table1[[#This Row],[Frequency (GHz)]]&lt;110),Table1[[#This Row],[Max Package Thermal Density (W/cm2)]],#N/A)</f>
        <v>#N/A</v>
      </c>
      <c r="AI98" s="1" t="e">
        <f>IF(AND(ISNUMBER(Table1[[#This Row],[Max Package Thermal Density (W/cm2)]]),Table1[[#This Row],[Frequency (GHz)]]&gt;=110,Table1[[#This Row],[Frequency (GHz)]]&lt;170),Table1[[#This Row],[Max Package Thermal Density (W/cm2)]],#N/A)</f>
        <v>#N/A</v>
      </c>
      <c r="AJ98" s="1" t="e">
        <f>IF(AND(ISNUMBER(Table1[[#This Row],[Max Package Thermal Density (W/cm2)]]),Table1[[#This Row],[Frequency (GHz)]]&gt;=170,Table1[[#This Row],[Frequency (GHz)]]&lt;260),Table1[[#This Row],[Max Package Thermal Density (W/cm2)]],#N/A)</f>
        <v>#N/A</v>
      </c>
      <c r="AK98" s="1" t="e">
        <f>IF(AND(ISNUMBER(Table1[[#This Row],[Max Package Thermal Density (W/cm2)]]),Table1[[#This Row],[Frequency (GHz)]]&gt;=260),Table1[[#This Row],[Max Package Thermal Density (W/cm2)]],#N/A)</f>
        <v>#N/A</v>
      </c>
      <c r="AN98" s="1">
        <f>IF(ISNUMBER(Table1[[#This Row],[Max Chip Thermal Density (W/cm2)]]),Table1[[#This Row],[Max Chip Thermal Density (W/cm2)]],#N/A)</f>
        <v>6.7102396514161224</v>
      </c>
      <c r="AO98" s="1" t="e">
        <f>IF(AND(ISNUMBER((Table1[[#This Row],[Max Chip Thermal Density (W/cm2)]])),Table1[[#This Row],[Frequency (GHz)]]&lt;20),Table1[[#This Row],[Max Chip Thermal Density (W/cm2)]],#N/A)</f>
        <v>#N/A</v>
      </c>
      <c r="AP98" s="1" t="e">
        <f>IF(AND(ISNUMBER(Table1[[#This Row],[Max Chip Thermal Density (W/cm2)]]),Table1[[#This Row],[Frequency (GHz)]]&gt;=20,Table1[[#This Row],[Frequency (GHz)]]&lt;50),Table1[[#This Row],[Max Chip Thermal Density (W/cm2)]],#N/A)</f>
        <v>#N/A</v>
      </c>
      <c r="AQ98" s="1" t="e">
        <f>IF(AND(ISNUMBER(Table1[[#This Row],[Max Chip Thermal Density (W/cm2)]]),Table1[[#This Row],[Frequency (GHz)]]&gt;=50,Table1[[#This Row],[Frequency (GHz)]]&lt;75),Table1[[#This Row],[Max Chip Thermal Density (W/cm2)]],#N/A)</f>
        <v>#N/A</v>
      </c>
      <c r="AR98" s="1" t="e">
        <f>IF(AND(ISNUMBER(Table1[[#This Row],[Max Chip Thermal Density (W/cm2)]]),Table1[[#This Row],[Frequency (GHz)]]&gt;=75,Table1[[#This Row],[Frequency (GHz)]]&lt;110),Table1[[#This Row],[Max Chip Thermal Density (W/cm2)]],#N/A)</f>
        <v>#N/A</v>
      </c>
      <c r="AS98" s="1">
        <f>IF(AND(ISNUMBER(Table1[[#This Row],[Max Chip Thermal Density (W/cm2)]]),Table1[[#This Row],[Frequency (GHz)]]&gt;=110,Table1[[#This Row],[Frequency (GHz)]]&lt;170),Table1[[#This Row],[Max Chip Thermal Density (W/cm2)]],#N/A)</f>
        <v>6.7102396514161224</v>
      </c>
      <c r="AT98" s="1" t="e">
        <f>IF(AND(ISNUMBER(Table1[[#This Row],[Max Chip Thermal Density (W/cm2)]]),Table1[[#This Row],[Frequency (GHz)]]&gt;=170,Table1[[#This Row],[Frequency (GHz)]]&lt;260),Table1[[#This Row],[Max Chip Thermal Density (W/cm2)]],#N/A)</f>
        <v>#N/A</v>
      </c>
      <c r="AU98" s="1" t="e">
        <f>IF(AND(ISNUMBER(Table1[[#This Row],[Max Chip Thermal Density (W/cm2)]]),Table1[[#This Row],[Frequency (GHz)]]&gt;=260),Table1[[#This Row],[Max Chip Thermal Density (W/cm2)]],#N/A)</f>
        <v>#N/A</v>
      </c>
    </row>
    <row r="99" spans="1:47" x14ac:dyDescent="0.2">
      <c r="A99" s="25" t="e">
        <f>IF(ISNUMBER(Table1[[#This Row],[Total Pout/Prad (dBm)]]),Table1[[#This Row],[Total Pout/Prad (dBm)]],#N/A)</f>
        <v>#N/A</v>
      </c>
      <c r="B99" s="1" t="e">
        <f>IF(ISNUMBER(Table1[[#This Row],[Total Pout/Prad (dBm)]]),Table1[[#This Row],[Total '# of TX Elements]],#N/A)</f>
        <v>#N/A</v>
      </c>
      <c r="C99" s="1" t="e">
        <f>IF(ISNUMBER(Table1[[#This Row],[TX EIRP (dBm)]]),Table1[[#This Row],[TX EIRP (dBm)]],#N/A)</f>
        <v>#N/A</v>
      </c>
      <c r="D99" s="1">
        <f>Table1[[#This Row],[TX Pdc (W)]]</f>
        <v>0.85</v>
      </c>
      <c r="E99" s="1">
        <f>IF(ISNUMBER(Table1[[#This Row],[Array Aperture Size (cm2)]]),Table1[[#This Row],[Array Aperture Size (cm2)]],IF(Table1[[#This Row],[Antenna on (None, Chip, AiP, PCB)]]="Chip",Table1[[#This Row],[Chip Core Size - X (mm)]]*Table1[[#This Row],[Chip Core Size -Y (mm)]]/100*Table1[[#This Row],['# of IC per Tile]]*Table1[[#This Row],['# of Array Tile]],#N/A))</f>
        <v>31.359999999999996</v>
      </c>
      <c r="F99" s="1" t="e">
        <f t="shared" si="2"/>
        <v>#N/A</v>
      </c>
      <c r="G99" s="1" t="e">
        <f t="shared" si="3"/>
        <v>#N/A</v>
      </c>
      <c r="L99" s="1" t="e">
        <f>IF(Table1[[#This Row],[Frequency (GHz)]]&lt;20,Plot_Data_Power!F99,#N/A)</f>
        <v>#N/A</v>
      </c>
      <c r="M99" s="1" t="e">
        <f>IF(AND(Table1[[#This Row],[Frequency (GHz)]]&gt;=20,Table1[[#This Row],[Frequency (GHz)]]&lt;50),Plot_Data_Power!F99,#N/A)</f>
        <v>#N/A</v>
      </c>
      <c r="N99" s="1" t="e">
        <f>IF(AND(Table1[[#This Row],[Frequency (GHz)]]&gt;=50,Table1[[#This Row],[Frequency (GHz)]]&lt;75),Plot_Data_Power!F99,#N/A)</f>
        <v>#N/A</v>
      </c>
      <c r="O99" s="1" t="e">
        <f>IF(AND(Table1[[#This Row],[Frequency (GHz)]]&gt;=75,Table1[[#This Row],[Frequency (GHz)]]&lt;110),Plot_Data_Power!F99,#N/A)</f>
        <v>#N/A</v>
      </c>
      <c r="P99" s="1" t="e">
        <f>IF(AND(Table1[[#This Row],[Frequency (GHz)]]&gt;=110,Table1[[#This Row],[Frequency (GHz)]]&lt;170),Plot_Data_Power!F99,#N/A)</f>
        <v>#N/A</v>
      </c>
      <c r="Q99" s="1" t="e">
        <f>IF(AND(Table1[[#This Row],[Frequency (GHz)]]&gt;=170,Table1[[#This Row],[Frequency (GHz)]]&lt;260),Plot_Data_Power!F99,#N/A)</f>
        <v>#N/A</v>
      </c>
      <c r="R99" s="1" t="e">
        <f>IF(Table1[[#This Row],[Frequency (GHz)]]&gt;=260,Plot_Data_Power!F99,#N/A)</f>
        <v>#N/A</v>
      </c>
      <c r="U99" s="1" t="e">
        <f>IF(Table1[[#This Row],[Frequency (GHz)]]&lt;20,Plot_Data_Power!G99,#N/A)</f>
        <v>#N/A</v>
      </c>
      <c r="V99" s="1" t="e">
        <f>IF(AND(Table1[[#This Row],[Frequency (GHz)]]&gt;=20,Table1[[#This Row],[Frequency (GHz)]]&lt;50),Plot_Data_Power!G99,#N/A)</f>
        <v>#N/A</v>
      </c>
      <c r="W99" s="1" t="e">
        <f>IF(AND(Table1[[#This Row],[Frequency (GHz)]]&gt;=50,Table1[[#This Row],[Frequency (GHz)]]&lt;75),Plot_Data_Power!G99,#N/A)</f>
        <v>#N/A</v>
      </c>
      <c r="X99" s="1" t="e">
        <f>IF(AND(Table1[[#This Row],[Frequency (GHz)]]&gt;=75,Table1[[#This Row],[Frequency (GHz)]]&lt;110),Plot_Data_Power!G99,#N/A)</f>
        <v>#N/A</v>
      </c>
      <c r="Y99" s="1" t="e">
        <f>IF(AND(Table1[[#This Row],[Frequency (GHz)]]&gt;=110,Table1[[#This Row],[Frequency (GHz)]]&lt;170),Plot_Data_Power!G99,#N/A)</f>
        <v>#N/A</v>
      </c>
      <c r="Z99" s="1" t="e">
        <f>IF(AND(Table1[[#This Row],[Frequency (GHz)]]&gt;=170,Table1[[#This Row],[Frequency (GHz)]]&lt;260),Plot_Data_Power!G99,#N/A)</f>
        <v>#N/A</v>
      </c>
      <c r="AA99" s="1" t="e">
        <f>IF(Table1[[#This Row],[Frequency (GHz)]]&gt;=260,Plot_Data_Power!G99,#N/A)</f>
        <v>#N/A</v>
      </c>
      <c r="AD99" s="1">
        <f>IF(ISNUMBER(Table1[[#This Row],[Max Package Thermal Density (W/cm2)]]),Table1[[#This Row],[Max Package Thermal Density (W/cm2)]],#N/A)</f>
        <v>2.7104591836734696E-2</v>
      </c>
      <c r="AE99" s="1" t="e">
        <f>IF(AND(ISNUMBER((Table1[[#This Row],[Max Package Thermal Density (W/cm2)]])),Table1[[#This Row],[Frequency (GHz)]]&lt;20),Table1[[#This Row],[Max Package Thermal Density (W/cm2)]],#N/A)</f>
        <v>#N/A</v>
      </c>
      <c r="AF99" s="1" t="e">
        <f>IF(AND(ISNUMBER(Table1[[#This Row],[Max Package Thermal Density (W/cm2)]]),Table1[[#This Row],[Frequency (GHz)]]&gt;=20,Table1[[#This Row],[Frequency (GHz)]]&lt;50),Table1[[#This Row],[Max Package Thermal Density (W/cm2)]],#N/A)</f>
        <v>#N/A</v>
      </c>
      <c r="AG99" s="1" t="e">
        <f>IF(AND(ISNUMBER(Table1[[#This Row],[Max Package Thermal Density (W/cm2)]]),Table1[[#This Row],[Frequency (GHz)]]&gt;=50,Table1[[#This Row],[Frequency (GHz)]]&lt;75),Table1[[#This Row],[Max Package Thermal Density (W/cm2)]],#N/A)</f>
        <v>#N/A</v>
      </c>
      <c r="AH99" s="1" t="e">
        <f>IF(AND(ISNUMBER(Table1[[#This Row],[Max Package Thermal Density (W/cm2)]]),Table1[[#This Row],[Frequency (GHz)]]&gt;=75,Table1[[#This Row],[Frequency (GHz)]]&lt;110),Table1[[#This Row],[Max Package Thermal Density (W/cm2)]],#N/A)</f>
        <v>#N/A</v>
      </c>
      <c r="AI99" s="1" t="e">
        <f>IF(AND(ISNUMBER(Table1[[#This Row],[Max Package Thermal Density (W/cm2)]]),Table1[[#This Row],[Frequency (GHz)]]&gt;=110,Table1[[#This Row],[Frequency (GHz)]]&lt;170),Table1[[#This Row],[Max Package Thermal Density (W/cm2)]],#N/A)</f>
        <v>#N/A</v>
      </c>
      <c r="AJ99" s="1" t="e">
        <f>IF(AND(ISNUMBER(Table1[[#This Row],[Max Package Thermal Density (W/cm2)]]),Table1[[#This Row],[Frequency (GHz)]]&gt;=170,Table1[[#This Row],[Frequency (GHz)]]&lt;260),Table1[[#This Row],[Max Package Thermal Density (W/cm2)]],#N/A)</f>
        <v>#N/A</v>
      </c>
      <c r="AK99" s="1">
        <f>IF(AND(ISNUMBER(Table1[[#This Row],[Max Package Thermal Density (W/cm2)]]),Table1[[#This Row],[Frequency (GHz)]]&gt;=260),Table1[[#This Row],[Max Package Thermal Density (W/cm2)]],#N/A)</f>
        <v>2.7104591836734696E-2</v>
      </c>
      <c r="AN99" s="1">
        <f>IF(ISNUMBER(Table1[[#This Row],[Max Chip Thermal Density (W/cm2)]]),Table1[[#This Row],[Max Chip Thermal Density (W/cm2)]],#N/A)</f>
        <v>2.7104591836734693E-2</v>
      </c>
      <c r="AO99" s="1" t="e">
        <f>IF(AND(ISNUMBER((Table1[[#This Row],[Max Chip Thermal Density (W/cm2)]])),Table1[[#This Row],[Frequency (GHz)]]&lt;20),Table1[[#This Row],[Max Chip Thermal Density (W/cm2)]],#N/A)</f>
        <v>#N/A</v>
      </c>
      <c r="AP99" s="1" t="e">
        <f>IF(AND(ISNUMBER(Table1[[#This Row],[Max Chip Thermal Density (W/cm2)]]),Table1[[#This Row],[Frequency (GHz)]]&gt;=20,Table1[[#This Row],[Frequency (GHz)]]&lt;50),Table1[[#This Row],[Max Chip Thermal Density (W/cm2)]],#N/A)</f>
        <v>#N/A</v>
      </c>
      <c r="AQ99" s="1" t="e">
        <f>IF(AND(ISNUMBER(Table1[[#This Row],[Max Chip Thermal Density (W/cm2)]]),Table1[[#This Row],[Frequency (GHz)]]&gt;=50,Table1[[#This Row],[Frequency (GHz)]]&lt;75),Table1[[#This Row],[Max Chip Thermal Density (W/cm2)]],#N/A)</f>
        <v>#N/A</v>
      </c>
      <c r="AR99" s="1" t="e">
        <f>IF(AND(ISNUMBER(Table1[[#This Row],[Max Chip Thermal Density (W/cm2)]]),Table1[[#This Row],[Frequency (GHz)]]&gt;=75,Table1[[#This Row],[Frequency (GHz)]]&lt;110),Table1[[#This Row],[Max Chip Thermal Density (W/cm2)]],#N/A)</f>
        <v>#N/A</v>
      </c>
      <c r="AS99" s="1" t="e">
        <f>IF(AND(ISNUMBER(Table1[[#This Row],[Max Chip Thermal Density (W/cm2)]]),Table1[[#This Row],[Frequency (GHz)]]&gt;=110,Table1[[#This Row],[Frequency (GHz)]]&lt;170),Table1[[#This Row],[Max Chip Thermal Density (W/cm2)]],#N/A)</f>
        <v>#N/A</v>
      </c>
      <c r="AT99" s="1" t="e">
        <f>IF(AND(ISNUMBER(Table1[[#This Row],[Max Chip Thermal Density (W/cm2)]]),Table1[[#This Row],[Frequency (GHz)]]&gt;=170,Table1[[#This Row],[Frequency (GHz)]]&lt;260),Table1[[#This Row],[Max Chip Thermal Density (W/cm2)]],#N/A)</f>
        <v>#N/A</v>
      </c>
      <c r="AU99" s="1">
        <f>IF(AND(ISNUMBER(Table1[[#This Row],[Max Chip Thermal Density (W/cm2)]]),Table1[[#This Row],[Frequency (GHz)]]&gt;=260),Table1[[#This Row],[Max Chip Thermal Density (W/cm2)]],#N/A)</f>
        <v>2.7104591836734693E-2</v>
      </c>
    </row>
    <row r="100" spans="1:47" x14ac:dyDescent="0.2">
      <c r="A100" s="25">
        <f>IF(ISNUMBER(Table1[[#This Row],[Total Pout/Prad (dBm)]]),Table1[[#This Row],[Total Pout/Prad (dBm)]],#N/A)</f>
        <v>36.0823996531185</v>
      </c>
      <c r="B100" s="1">
        <f>IF(ISNUMBER(Table1[[#This Row],[Total Pout/Prad (dBm)]]),Table1[[#This Row],[Total '# of TX Elements]],#N/A)</f>
        <v>256</v>
      </c>
      <c r="C100" s="1" t="e">
        <f>IF(ISNUMBER(Table1[[#This Row],[TX EIRP (dBm)]]),Table1[[#This Row],[TX EIRP (dBm)]],#N/A)</f>
        <v>#N/A</v>
      </c>
      <c r="D100" s="1">
        <f>Table1[[#This Row],[TX Pdc (W)]]</f>
        <v>67.84</v>
      </c>
      <c r="E100" s="1">
        <f>IF(ISNUMBER(Table1[[#This Row],[Array Aperture Size (cm2)]]),Table1[[#This Row],[Array Aperture Size (cm2)]],IF(Table1[[#This Row],[Antenna on (None, Chip, AiP, PCB)]]="Chip",Table1[[#This Row],[Chip Core Size - X (mm)]]*Table1[[#This Row],[Chip Core Size -Y (mm)]]/100*Table1[[#This Row],['# of IC per Tile]]*Table1[[#This Row],['# of Array Tile]],#N/A))</f>
        <v>9</v>
      </c>
      <c r="F100" s="1">
        <f t="shared" si="2"/>
        <v>5.9807290281551548</v>
      </c>
      <c r="G100" s="1" t="e">
        <f t="shared" si="3"/>
        <v>#N/A</v>
      </c>
      <c r="L100" s="1" t="e">
        <f>IF(Table1[[#This Row],[Frequency (GHz)]]&lt;20,Plot_Data_Power!F100,#N/A)</f>
        <v>#N/A</v>
      </c>
      <c r="M100" s="1" t="e">
        <f>IF(AND(Table1[[#This Row],[Frequency (GHz)]]&gt;=20,Table1[[#This Row],[Frequency (GHz)]]&lt;50),Plot_Data_Power!F100,#N/A)</f>
        <v>#N/A</v>
      </c>
      <c r="N100" s="1" t="e">
        <f>IF(AND(Table1[[#This Row],[Frequency (GHz)]]&gt;=50,Table1[[#This Row],[Frequency (GHz)]]&lt;75),Plot_Data_Power!F100,#N/A)</f>
        <v>#N/A</v>
      </c>
      <c r="O100" s="1" t="e">
        <f>IF(AND(Table1[[#This Row],[Frequency (GHz)]]&gt;=75,Table1[[#This Row],[Frequency (GHz)]]&lt;110),Plot_Data_Power!F100,#N/A)</f>
        <v>#N/A</v>
      </c>
      <c r="P100" s="1">
        <f>IF(AND(Table1[[#This Row],[Frequency (GHz)]]&gt;=110,Table1[[#This Row],[Frequency (GHz)]]&lt;170),Plot_Data_Power!F100,#N/A)</f>
        <v>5.9807290281551548</v>
      </c>
      <c r="Q100" s="1" t="e">
        <f>IF(AND(Table1[[#This Row],[Frequency (GHz)]]&gt;=170,Table1[[#This Row],[Frequency (GHz)]]&lt;260),Plot_Data_Power!F100,#N/A)</f>
        <v>#N/A</v>
      </c>
      <c r="R100" s="1" t="e">
        <f>IF(Table1[[#This Row],[Frequency (GHz)]]&gt;=260,Plot_Data_Power!F100,#N/A)</f>
        <v>#N/A</v>
      </c>
      <c r="U100" s="1" t="e">
        <f>IF(Table1[[#This Row],[Frequency (GHz)]]&lt;20,Plot_Data_Power!G100,#N/A)</f>
        <v>#N/A</v>
      </c>
      <c r="V100" s="1" t="e">
        <f>IF(AND(Table1[[#This Row],[Frequency (GHz)]]&gt;=20,Table1[[#This Row],[Frequency (GHz)]]&lt;50),Plot_Data_Power!G100,#N/A)</f>
        <v>#N/A</v>
      </c>
      <c r="W100" s="1" t="e">
        <f>IF(AND(Table1[[#This Row],[Frequency (GHz)]]&gt;=50,Table1[[#This Row],[Frequency (GHz)]]&lt;75),Plot_Data_Power!G100,#N/A)</f>
        <v>#N/A</v>
      </c>
      <c r="X100" s="1" t="e">
        <f>IF(AND(Table1[[#This Row],[Frequency (GHz)]]&gt;=75,Table1[[#This Row],[Frequency (GHz)]]&lt;110),Plot_Data_Power!G100,#N/A)</f>
        <v>#N/A</v>
      </c>
      <c r="Y100" s="1" t="e">
        <f>IF(AND(Table1[[#This Row],[Frequency (GHz)]]&gt;=110,Table1[[#This Row],[Frequency (GHz)]]&lt;170),Plot_Data_Power!G100,#N/A)</f>
        <v>#N/A</v>
      </c>
      <c r="Z100" s="1" t="e">
        <f>IF(AND(Table1[[#This Row],[Frequency (GHz)]]&gt;=170,Table1[[#This Row],[Frequency (GHz)]]&lt;260),Plot_Data_Power!G100,#N/A)</f>
        <v>#N/A</v>
      </c>
      <c r="AA100" s="1" t="e">
        <f>IF(Table1[[#This Row],[Frequency (GHz)]]&gt;=260,Plot_Data_Power!G100,#N/A)</f>
        <v>#N/A</v>
      </c>
      <c r="AD100" s="1">
        <f>IF(ISNUMBER(Table1[[#This Row],[Max Package Thermal Density (W/cm2)]]),Table1[[#This Row],[Max Package Thermal Density (W/cm2)]],#N/A)</f>
        <v>7.5377777777777784</v>
      </c>
      <c r="AE100" s="1" t="e">
        <f>IF(AND(ISNUMBER((Table1[[#This Row],[Max Package Thermal Density (W/cm2)]])),Table1[[#This Row],[Frequency (GHz)]]&lt;20),Table1[[#This Row],[Max Package Thermal Density (W/cm2)]],#N/A)</f>
        <v>#N/A</v>
      </c>
      <c r="AF100" s="1" t="e">
        <f>IF(AND(ISNUMBER(Table1[[#This Row],[Max Package Thermal Density (W/cm2)]]),Table1[[#This Row],[Frequency (GHz)]]&gt;=20,Table1[[#This Row],[Frequency (GHz)]]&lt;50),Table1[[#This Row],[Max Package Thermal Density (W/cm2)]],#N/A)</f>
        <v>#N/A</v>
      </c>
      <c r="AG100" s="1" t="e">
        <f>IF(AND(ISNUMBER(Table1[[#This Row],[Max Package Thermal Density (W/cm2)]]),Table1[[#This Row],[Frequency (GHz)]]&gt;=50,Table1[[#This Row],[Frequency (GHz)]]&lt;75),Table1[[#This Row],[Max Package Thermal Density (W/cm2)]],#N/A)</f>
        <v>#N/A</v>
      </c>
      <c r="AH100" s="1" t="e">
        <f>IF(AND(ISNUMBER(Table1[[#This Row],[Max Package Thermal Density (W/cm2)]]),Table1[[#This Row],[Frequency (GHz)]]&gt;=75,Table1[[#This Row],[Frequency (GHz)]]&lt;110),Table1[[#This Row],[Max Package Thermal Density (W/cm2)]],#N/A)</f>
        <v>#N/A</v>
      </c>
      <c r="AI100" s="1">
        <f>IF(AND(ISNUMBER(Table1[[#This Row],[Max Package Thermal Density (W/cm2)]]),Table1[[#This Row],[Frequency (GHz)]]&gt;=110,Table1[[#This Row],[Frequency (GHz)]]&lt;170),Table1[[#This Row],[Max Package Thermal Density (W/cm2)]],#N/A)</f>
        <v>7.5377777777777784</v>
      </c>
      <c r="AJ100" s="1" t="e">
        <f>IF(AND(ISNUMBER(Table1[[#This Row],[Max Package Thermal Density (W/cm2)]]),Table1[[#This Row],[Frequency (GHz)]]&gt;=170,Table1[[#This Row],[Frequency (GHz)]]&lt;260),Table1[[#This Row],[Max Package Thermal Density (W/cm2)]],#N/A)</f>
        <v>#N/A</v>
      </c>
      <c r="AK100" s="1" t="e">
        <f>IF(AND(ISNUMBER(Table1[[#This Row],[Max Package Thermal Density (W/cm2)]]),Table1[[#This Row],[Frequency (GHz)]]&gt;=260),Table1[[#This Row],[Max Package Thermal Density (W/cm2)]],#N/A)</f>
        <v>#N/A</v>
      </c>
      <c r="AN100" s="1">
        <f>IF(ISNUMBER(Table1[[#This Row],[Max Chip Thermal Density (W/cm2)]]),Table1[[#This Row],[Max Chip Thermal Density (W/cm2)]],#N/A)</f>
        <v>23.793490460157127</v>
      </c>
      <c r="AO100" s="1" t="e">
        <f>IF(AND(ISNUMBER((Table1[[#This Row],[Max Chip Thermal Density (W/cm2)]])),Table1[[#This Row],[Frequency (GHz)]]&lt;20),Table1[[#This Row],[Max Chip Thermal Density (W/cm2)]],#N/A)</f>
        <v>#N/A</v>
      </c>
      <c r="AP100" s="1" t="e">
        <f>IF(AND(ISNUMBER(Table1[[#This Row],[Max Chip Thermal Density (W/cm2)]]),Table1[[#This Row],[Frequency (GHz)]]&gt;=20,Table1[[#This Row],[Frequency (GHz)]]&lt;50),Table1[[#This Row],[Max Chip Thermal Density (W/cm2)]],#N/A)</f>
        <v>#N/A</v>
      </c>
      <c r="AQ100" s="1" t="e">
        <f>IF(AND(ISNUMBER(Table1[[#This Row],[Max Chip Thermal Density (W/cm2)]]),Table1[[#This Row],[Frequency (GHz)]]&gt;=50,Table1[[#This Row],[Frequency (GHz)]]&lt;75),Table1[[#This Row],[Max Chip Thermal Density (W/cm2)]],#N/A)</f>
        <v>#N/A</v>
      </c>
      <c r="AR100" s="1" t="e">
        <f>IF(AND(ISNUMBER(Table1[[#This Row],[Max Chip Thermal Density (W/cm2)]]),Table1[[#This Row],[Frequency (GHz)]]&gt;=75,Table1[[#This Row],[Frequency (GHz)]]&lt;110),Table1[[#This Row],[Max Chip Thermal Density (W/cm2)]],#N/A)</f>
        <v>#N/A</v>
      </c>
      <c r="AS100" s="1">
        <f>IF(AND(ISNUMBER(Table1[[#This Row],[Max Chip Thermal Density (W/cm2)]]),Table1[[#This Row],[Frequency (GHz)]]&gt;=110,Table1[[#This Row],[Frequency (GHz)]]&lt;170),Table1[[#This Row],[Max Chip Thermal Density (W/cm2)]],#N/A)</f>
        <v>23.793490460157127</v>
      </c>
      <c r="AT100" s="1" t="e">
        <f>IF(AND(ISNUMBER(Table1[[#This Row],[Max Chip Thermal Density (W/cm2)]]),Table1[[#This Row],[Frequency (GHz)]]&gt;=170,Table1[[#This Row],[Frequency (GHz)]]&lt;260),Table1[[#This Row],[Max Chip Thermal Density (W/cm2)]],#N/A)</f>
        <v>#N/A</v>
      </c>
      <c r="AU100" s="1" t="e">
        <f>IF(AND(ISNUMBER(Table1[[#This Row],[Max Chip Thermal Density (W/cm2)]]),Table1[[#This Row],[Frequency (GHz)]]&gt;=260),Table1[[#This Row],[Max Chip Thermal Density (W/cm2)]],#N/A)</f>
        <v>#N/A</v>
      </c>
    </row>
    <row r="101" spans="1:47" x14ac:dyDescent="0.2">
      <c r="A101" s="25" t="e">
        <f>IF(ISNUMBER(Table1[[#This Row],[Total Pout/Prad (dBm)]]),Table1[[#This Row],[Total Pout/Prad (dBm)]],#N/A)</f>
        <v>#N/A</v>
      </c>
      <c r="B101" s="1" t="e">
        <f>IF(ISNUMBER(Table1[[#This Row],[Total Pout/Prad (dBm)]]),Table1[[#This Row],[Total '# of TX Elements]],#N/A)</f>
        <v>#N/A</v>
      </c>
      <c r="C101" s="1" t="e">
        <f>IF(ISNUMBER(Table1[[#This Row],[TX EIRP (dBm)]]),Table1[[#This Row],[TX EIRP (dBm)]],#N/A)</f>
        <v>#N/A</v>
      </c>
      <c r="D101" s="1" t="str">
        <f>Table1[[#This Row],[TX Pdc (W)]]</f>
        <v>N/A</v>
      </c>
      <c r="E101" s="1">
        <f>IF(ISNUMBER(Table1[[#This Row],[Array Aperture Size (cm2)]]),Table1[[#This Row],[Array Aperture Size (cm2)]],IF(Table1[[#This Row],[Antenna on (None, Chip, AiP, PCB)]]="Chip",Table1[[#This Row],[Chip Core Size - X (mm)]]*Table1[[#This Row],[Chip Core Size -Y (mm)]]/100*Table1[[#This Row],['# of IC per Tile]]*Table1[[#This Row],['# of Array Tile]],#N/A))</f>
        <v>9</v>
      </c>
      <c r="F101" s="1" t="e">
        <f t="shared" si="2"/>
        <v>#N/A</v>
      </c>
      <c r="G101" s="1" t="e">
        <f t="shared" si="3"/>
        <v>#N/A</v>
      </c>
      <c r="L101" s="1" t="e">
        <f>IF(Table1[[#This Row],[Frequency (GHz)]]&lt;20,Plot_Data_Power!F101,#N/A)</f>
        <v>#N/A</v>
      </c>
      <c r="M101" s="1" t="e">
        <f>IF(AND(Table1[[#This Row],[Frequency (GHz)]]&gt;=20,Table1[[#This Row],[Frequency (GHz)]]&lt;50),Plot_Data_Power!F101,#N/A)</f>
        <v>#N/A</v>
      </c>
      <c r="N101" s="1" t="e">
        <f>IF(AND(Table1[[#This Row],[Frequency (GHz)]]&gt;=50,Table1[[#This Row],[Frequency (GHz)]]&lt;75),Plot_Data_Power!F101,#N/A)</f>
        <v>#N/A</v>
      </c>
      <c r="O101" s="1" t="e">
        <f>IF(AND(Table1[[#This Row],[Frequency (GHz)]]&gt;=75,Table1[[#This Row],[Frequency (GHz)]]&lt;110),Plot_Data_Power!F101,#N/A)</f>
        <v>#N/A</v>
      </c>
      <c r="P101" s="1" t="e">
        <f>IF(AND(Table1[[#This Row],[Frequency (GHz)]]&gt;=110,Table1[[#This Row],[Frequency (GHz)]]&lt;170),Plot_Data_Power!F101,#N/A)</f>
        <v>#N/A</v>
      </c>
      <c r="Q101" s="1" t="e">
        <f>IF(AND(Table1[[#This Row],[Frequency (GHz)]]&gt;=170,Table1[[#This Row],[Frequency (GHz)]]&lt;260),Plot_Data_Power!F101,#N/A)</f>
        <v>#N/A</v>
      </c>
      <c r="R101" s="1" t="e">
        <f>IF(Table1[[#This Row],[Frequency (GHz)]]&gt;=260,Plot_Data_Power!F101,#N/A)</f>
        <v>#N/A</v>
      </c>
      <c r="U101" s="1" t="e">
        <f>IF(Table1[[#This Row],[Frequency (GHz)]]&lt;20,Plot_Data_Power!G101,#N/A)</f>
        <v>#N/A</v>
      </c>
      <c r="V101" s="1" t="e">
        <f>IF(AND(Table1[[#This Row],[Frequency (GHz)]]&gt;=20,Table1[[#This Row],[Frequency (GHz)]]&lt;50),Plot_Data_Power!G101,#N/A)</f>
        <v>#N/A</v>
      </c>
      <c r="W101" s="1" t="e">
        <f>IF(AND(Table1[[#This Row],[Frequency (GHz)]]&gt;=50,Table1[[#This Row],[Frequency (GHz)]]&lt;75),Plot_Data_Power!G101,#N/A)</f>
        <v>#N/A</v>
      </c>
      <c r="X101" s="1" t="e">
        <f>IF(AND(Table1[[#This Row],[Frequency (GHz)]]&gt;=75,Table1[[#This Row],[Frequency (GHz)]]&lt;110),Plot_Data_Power!G101,#N/A)</f>
        <v>#N/A</v>
      </c>
      <c r="Y101" s="1" t="e">
        <f>IF(AND(Table1[[#This Row],[Frequency (GHz)]]&gt;=110,Table1[[#This Row],[Frequency (GHz)]]&lt;170),Plot_Data_Power!G101,#N/A)</f>
        <v>#N/A</v>
      </c>
      <c r="Z101" s="1" t="e">
        <f>IF(AND(Table1[[#This Row],[Frequency (GHz)]]&gt;=170,Table1[[#This Row],[Frequency (GHz)]]&lt;260),Plot_Data_Power!G101,#N/A)</f>
        <v>#N/A</v>
      </c>
      <c r="AA101" s="1" t="e">
        <f>IF(Table1[[#This Row],[Frequency (GHz)]]&gt;=260,Plot_Data_Power!G101,#N/A)</f>
        <v>#N/A</v>
      </c>
      <c r="AD101" s="1">
        <f>IF(ISNUMBER(Table1[[#This Row],[Max Package Thermal Density (W/cm2)]]),Table1[[#This Row],[Max Package Thermal Density (W/cm2)]],#N/A)</f>
        <v>5.6888888888888891</v>
      </c>
      <c r="AE101" s="1" t="e">
        <f>IF(AND(ISNUMBER((Table1[[#This Row],[Max Package Thermal Density (W/cm2)]])),Table1[[#This Row],[Frequency (GHz)]]&lt;20),Table1[[#This Row],[Max Package Thermal Density (W/cm2)]],#N/A)</f>
        <v>#N/A</v>
      </c>
      <c r="AF101" s="1" t="e">
        <f>IF(AND(ISNUMBER(Table1[[#This Row],[Max Package Thermal Density (W/cm2)]]),Table1[[#This Row],[Frequency (GHz)]]&gt;=20,Table1[[#This Row],[Frequency (GHz)]]&lt;50),Table1[[#This Row],[Max Package Thermal Density (W/cm2)]],#N/A)</f>
        <v>#N/A</v>
      </c>
      <c r="AG101" s="1" t="e">
        <f>IF(AND(ISNUMBER(Table1[[#This Row],[Max Package Thermal Density (W/cm2)]]),Table1[[#This Row],[Frequency (GHz)]]&gt;=50,Table1[[#This Row],[Frequency (GHz)]]&lt;75),Table1[[#This Row],[Max Package Thermal Density (W/cm2)]],#N/A)</f>
        <v>#N/A</v>
      </c>
      <c r="AH101" s="1" t="e">
        <f>IF(AND(ISNUMBER(Table1[[#This Row],[Max Package Thermal Density (W/cm2)]]),Table1[[#This Row],[Frequency (GHz)]]&gt;=75,Table1[[#This Row],[Frequency (GHz)]]&lt;110),Table1[[#This Row],[Max Package Thermal Density (W/cm2)]],#N/A)</f>
        <v>#N/A</v>
      </c>
      <c r="AI101" s="1">
        <f>IF(AND(ISNUMBER(Table1[[#This Row],[Max Package Thermal Density (W/cm2)]]),Table1[[#This Row],[Frequency (GHz)]]&gt;=110,Table1[[#This Row],[Frequency (GHz)]]&lt;170),Table1[[#This Row],[Max Package Thermal Density (W/cm2)]],#N/A)</f>
        <v>5.6888888888888891</v>
      </c>
      <c r="AJ101" s="1" t="e">
        <f>IF(AND(ISNUMBER(Table1[[#This Row],[Max Package Thermal Density (W/cm2)]]),Table1[[#This Row],[Frequency (GHz)]]&gt;=170,Table1[[#This Row],[Frequency (GHz)]]&lt;260),Table1[[#This Row],[Max Package Thermal Density (W/cm2)]],#N/A)</f>
        <v>#N/A</v>
      </c>
      <c r="AK101" s="1" t="e">
        <f>IF(AND(ISNUMBER(Table1[[#This Row],[Max Package Thermal Density (W/cm2)]]),Table1[[#This Row],[Frequency (GHz)]]&gt;=260),Table1[[#This Row],[Max Package Thermal Density (W/cm2)]],#N/A)</f>
        <v>#N/A</v>
      </c>
      <c r="AN101" s="1">
        <f>IF(ISNUMBER(Table1[[#This Row],[Max Chip Thermal Density (W/cm2)]]),Table1[[#This Row],[Max Chip Thermal Density (W/cm2)]],#N/A)</f>
        <v>17.957351290684624</v>
      </c>
      <c r="AO101" s="1" t="e">
        <f>IF(AND(ISNUMBER((Table1[[#This Row],[Max Chip Thermal Density (W/cm2)]])),Table1[[#This Row],[Frequency (GHz)]]&lt;20),Table1[[#This Row],[Max Chip Thermal Density (W/cm2)]],#N/A)</f>
        <v>#N/A</v>
      </c>
      <c r="AP101" s="1" t="e">
        <f>IF(AND(ISNUMBER(Table1[[#This Row],[Max Chip Thermal Density (W/cm2)]]),Table1[[#This Row],[Frequency (GHz)]]&gt;=20,Table1[[#This Row],[Frequency (GHz)]]&lt;50),Table1[[#This Row],[Max Chip Thermal Density (W/cm2)]],#N/A)</f>
        <v>#N/A</v>
      </c>
      <c r="AQ101" s="1" t="e">
        <f>IF(AND(ISNUMBER(Table1[[#This Row],[Max Chip Thermal Density (W/cm2)]]),Table1[[#This Row],[Frequency (GHz)]]&gt;=50,Table1[[#This Row],[Frequency (GHz)]]&lt;75),Table1[[#This Row],[Max Chip Thermal Density (W/cm2)]],#N/A)</f>
        <v>#N/A</v>
      </c>
      <c r="AR101" s="1" t="e">
        <f>IF(AND(ISNUMBER(Table1[[#This Row],[Max Chip Thermal Density (W/cm2)]]),Table1[[#This Row],[Frequency (GHz)]]&gt;=75,Table1[[#This Row],[Frequency (GHz)]]&lt;110),Table1[[#This Row],[Max Chip Thermal Density (W/cm2)]],#N/A)</f>
        <v>#N/A</v>
      </c>
      <c r="AS101" s="1">
        <f>IF(AND(ISNUMBER(Table1[[#This Row],[Max Chip Thermal Density (W/cm2)]]),Table1[[#This Row],[Frequency (GHz)]]&gt;=110,Table1[[#This Row],[Frequency (GHz)]]&lt;170),Table1[[#This Row],[Max Chip Thermal Density (W/cm2)]],#N/A)</f>
        <v>17.957351290684624</v>
      </c>
      <c r="AT101" s="1" t="e">
        <f>IF(AND(ISNUMBER(Table1[[#This Row],[Max Chip Thermal Density (W/cm2)]]),Table1[[#This Row],[Frequency (GHz)]]&gt;=170,Table1[[#This Row],[Frequency (GHz)]]&lt;260),Table1[[#This Row],[Max Chip Thermal Density (W/cm2)]],#N/A)</f>
        <v>#N/A</v>
      </c>
      <c r="AU101" s="1" t="e">
        <f>IF(AND(ISNUMBER(Table1[[#This Row],[Max Chip Thermal Density (W/cm2)]]),Table1[[#This Row],[Frequency (GHz)]]&gt;=260),Table1[[#This Row],[Max Chip Thermal Density (W/cm2)]],#N/A)</f>
        <v>#N/A</v>
      </c>
    </row>
    <row r="102" spans="1:47" x14ac:dyDescent="0.2">
      <c r="A102" s="25">
        <f>IF(ISNUMBER(Table1[[#This Row],[Total Pout/Prad (dBm)]]),Table1[[#This Row],[Total Pout/Prad (dBm)]],#N/A)</f>
        <v>24.020599913279629</v>
      </c>
      <c r="B102" s="1">
        <f>IF(ISNUMBER(Table1[[#This Row],[Total Pout/Prad (dBm)]]),Table1[[#This Row],[Total '# of TX Elements]],#N/A)</f>
        <v>4</v>
      </c>
      <c r="C102" s="1" t="e">
        <f>IF(ISNUMBER(Table1[[#This Row],[TX EIRP (dBm)]]),Table1[[#This Row],[TX EIRP (dBm)]],#N/A)</f>
        <v>#N/A</v>
      </c>
      <c r="D102" s="1">
        <f>Table1[[#This Row],[TX Pdc (W)]]</f>
        <v>1.0880000000000001</v>
      </c>
      <c r="E102"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02" s="1">
        <f t="shared" si="2"/>
        <v>23.196961194124789</v>
      </c>
      <c r="G102" s="1" t="e">
        <f t="shared" si="3"/>
        <v>#N/A</v>
      </c>
      <c r="L102" s="1" t="e">
        <f>IF(Table1[[#This Row],[Frequency (GHz)]]&lt;20,Plot_Data_Power!F102,#N/A)</f>
        <v>#N/A</v>
      </c>
      <c r="M102" s="1">
        <f>IF(AND(Table1[[#This Row],[Frequency (GHz)]]&gt;=20,Table1[[#This Row],[Frequency (GHz)]]&lt;50),Plot_Data_Power!F102,#N/A)</f>
        <v>23.196961194124789</v>
      </c>
      <c r="N102" s="1" t="e">
        <f>IF(AND(Table1[[#This Row],[Frequency (GHz)]]&gt;=50,Table1[[#This Row],[Frequency (GHz)]]&lt;75),Plot_Data_Power!F102,#N/A)</f>
        <v>#N/A</v>
      </c>
      <c r="O102" s="1" t="e">
        <f>IF(AND(Table1[[#This Row],[Frequency (GHz)]]&gt;=75,Table1[[#This Row],[Frequency (GHz)]]&lt;110),Plot_Data_Power!F102,#N/A)</f>
        <v>#N/A</v>
      </c>
      <c r="P102" s="1" t="e">
        <f>IF(AND(Table1[[#This Row],[Frequency (GHz)]]&gt;=110,Table1[[#This Row],[Frequency (GHz)]]&lt;170),Plot_Data_Power!F102,#N/A)</f>
        <v>#N/A</v>
      </c>
      <c r="Q102" s="1" t="e">
        <f>IF(AND(Table1[[#This Row],[Frequency (GHz)]]&gt;=170,Table1[[#This Row],[Frequency (GHz)]]&lt;260),Plot_Data_Power!F102,#N/A)</f>
        <v>#N/A</v>
      </c>
      <c r="R102" s="1" t="e">
        <f>IF(Table1[[#This Row],[Frequency (GHz)]]&gt;=260,Plot_Data_Power!F102,#N/A)</f>
        <v>#N/A</v>
      </c>
      <c r="U102" s="1" t="e">
        <f>IF(Table1[[#This Row],[Frequency (GHz)]]&lt;20,Plot_Data_Power!G102,#N/A)</f>
        <v>#N/A</v>
      </c>
      <c r="V102" s="1" t="e">
        <f>IF(AND(Table1[[#This Row],[Frequency (GHz)]]&gt;=20,Table1[[#This Row],[Frequency (GHz)]]&lt;50),Plot_Data_Power!G102,#N/A)</f>
        <v>#N/A</v>
      </c>
      <c r="W102" s="1" t="e">
        <f>IF(AND(Table1[[#This Row],[Frequency (GHz)]]&gt;=50,Table1[[#This Row],[Frequency (GHz)]]&lt;75),Plot_Data_Power!G102,#N/A)</f>
        <v>#N/A</v>
      </c>
      <c r="X102" s="1" t="e">
        <f>IF(AND(Table1[[#This Row],[Frequency (GHz)]]&gt;=75,Table1[[#This Row],[Frequency (GHz)]]&lt;110),Plot_Data_Power!G102,#N/A)</f>
        <v>#N/A</v>
      </c>
      <c r="Y102" s="1" t="e">
        <f>IF(AND(Table1[[#This Row],[Frequency (GHz)]]&gt;=110,Table1[[#This Row],[Frequency (GHz)]]&lt;170),Plot_Data_Power!G102,#N/A)</f>
        <v>#N/A</v>
      </c>
      <c r="Z102" s="1" t="e">
        <f>IF(AND(Table1[[#This Row],[Frequency (GHz)]]&gt;=170,Table1[[#This Row],[Frequency (GHz)]]&lt;260),Plot_Data_Power!G102,#N/A)</f>
        <v>#N/A</v>
      </c>
      <c r="AA102" s="1" t="e">
        <f>IF(Table1[[#This Row],[Frequency (GHz)]]&gt;=260,Plot_Data_Power!G102,#N/A)</f>
        <v>#N/A</v>
      </c>
      <c r="AD102" s="1" t="e">
        <f>IF(ISNUMBER(Table1[[#This Row],[Max Package Thermal Density (W/cm2)]]),Table1[[#This Row],[Max Package Thermal Density (W/cm2)]],#N/A)</f>
        <v>#N/A</v>
      </c>
      <c r="AE102" s="1" t="e">
        <f>IF(AND(ISNUMBER((Table1[[#This Row],[Max Package Thermal Density (W/cm2)]])),Table1[[#This Row],[Frequency (GHz)]]&lt;20),Table1[[#This Row],[Max Package Thermal Density (W/cm2)]],#N/A)</f>
        <v>#N/A</v>
      </c>
      <c r="AF102" s="1" t="e">
        <f>IF(AND(ISNUMBER(Table1[[#This Row],[Max Package Thermal Density (W/cm2)]]),Table1[[#This Row],[Frequency (GHz)]]&gt;=20,Table1[[#This Row],[Frequency (GHz)]]&lt;50),Table1[[#This Row],[Max Package Thermal Density (W/cm2)]],#N/A)</f>
        <v>#N/A</v>
      </c>
      <c r="AG102" s="1" t="e">
        <f>IF(AND(ISNUMBER(Table1[[#This Row],[Max Package Thermal Density (W/cm2)]]),Table1[[#This Row],[Frequency (GHz)]]&gt;=50,Table1[[#This Row],[Frequency (GHz)]]&lt;75),Table1[[#This Row],[Max Package Thermal Density (W/cm2)]],#N/A)</f>
        <v>#N/A</v>
      </c>
      <c r="AH102" s="1" t="e">
        <f>IF(AND(ISNUMBER(Table1[[#This Row],[Max Package Thermal Density (W/cm2)]]),Table1[[#This Row],[Frequency (GHz)]]&gt;=75,Table1[[#This Row],[Frequency (GHz)]]&lt;110),Table1[[#This Row],[Max Package Thermal Density (W/cm2)]],#N/A)</f>
        <v>#N/A</v>
      </c>
      <c r="AI102" s="1" t="e">
        <f>IF(AND(ISNUMBER(Table1[[#This Row],[Max Package Thermal Density (W/cm2)]]),Table1[[#This Row],[Frequency (GHz)]]&gt;=110,Table1[[#This Row],[Frequency (GHz)]]&lt;170),Table1[[#This Row],[Max Package Thermal Density (W/cm2)]],#N/A)</f>
        <v>#N/A</v>
      </c>
      <c r="AJ102" s="1" t="e">
        <f>IF(AND(ISNUMBER(Table1[[#This Row],[Max Package Thermal Density (W/cm2)]]),Table1[[#This Row],[Frequency (GHz)]]&gt;=170,Table1[[#This Row],[Frequency (GHz)]]&lt;260),Table1[[#This Row],[Max Package Thermal Density (W/cm2)]],#N/A)</f>
        <v>#N/A</v>
      </c>
      <c r="AK102" s="1" t="e">
        <f>IF(AND(ISNUMBER(Table1[[#This Row],[Max Package Thermal Density (W/cm2)]]),Table1[[#This Row],[Frequency (GHz)]]&gt;=260),Table1[[#This Row],[Max Package Thermal Density (W/cm2)]],#N/A)</f>
        <v>#N/A</v>
      </c>
      <c r="AN102" s="1">
        <f>IF(ISNUMBER(Table1[[#This Row],[Max Chip Thermal Density (W/cm2)]]),Table1[[#This Row],[Max Chip Thermal Density (W/cm2)]],#N/A)</f>
        <v>3.1701631701631703</v>
      </c>
      <c r="AO102" s="1" t="e">
        <f>IF(AND(ISNUMBER((Table1[[#This Row],[Max Chip Thermal Density (W/cm2)]])),Table1[[#This Row],[Frequency (GHz)]]&lt;20),Table1[[#This Row],[Max Chip Thermal Density (W/cm2)]],#N/A)</f>
        <v>#N/A</v>
      </c>
      <c r="AP102" s="1">
        <f>IF(AND(ISNUMBER(Table1[[#This Row],[Max Chip Thermal Density (W/cm2)]]),Table1[[#This Row],[Frequency (GHz)]]&gt;=20,Table1[[#This Row],[Frequency (GHz)]]&lt;50),Table1[[#This Row],[Max Chip Thermal Density (W/cm2)]],#N/A)</f>
        <v>3.1701631701631703</v>
      </c>
      <c r="AQ102" s="1" t="e">
        <f>IF(AND(ISNUMBER(Table1[[#This Row],[Max Chip Thermal Density (W/cm2)]]),Table1[[#This Row],[Frequency (GHz)]]&gt;=50,Table1[[#This Row],[Frequency (GHz)]]&lt;75),Table1[[#This Row],[Max Chip Thermal Density (W/cm2)]],#N/A)</f>
        <v>#N/A</v>
      </c>
      <c r="AR102" s="1" t="e">
        <f>IF(AND(ISNUMBER(Table1[[#This Row],[Max Chip Thermal Density (W/cm2)]]),Table1[[#This Row],[Frequency (GHz)]]&gt;=75,Table1[[#This Row],[Frequency (GHz)]]&lt;110),Table1[[#This Row],[Max Chip Thermal Density (W/cm2)]],#N/A)</f>
        <v>#N/A</v>
      </c>
      <c r="AS102" s="1" t="e">
        <f>IF(AND(ISNUMBER(Table1[[#This Row],[Max Chip Thermal Density (W/cm2)]]),Table1[[#This Row],[Frequency (GHz)]]&gt;=110,Table1[[#This Row],[Frequency (GHz)]]&lt;170),Table1[[#This Row],[Max Chip Thermal Density (W/cm2)]],#N/A)</f>
        <v>#N/A</v>
      </c>
      <c r="AT102" s="1" t="e">
        <f>IF(AND(ISNUMBER(Table1[[#This Row],[Max Chip Thermal Density (W/cm2)]]),Table1[[#This Row],[Frequency (GHz)]]&gt;=170,Table1[[#This Row],[Frequency (GHz)]]&lt;260),Table1[[#This Row],[Max Chip Thermal Density (W/cm2)]],#N/A)</f>
        <v>#N/A</v>
      </c>
      <c r="AU102" s="1" t="e">
        <f>IF(AND(ISNUMBER(Table1[[#This Row],[Max Chip Thermal Density (W/cm2)]]),Table1[[#This Row],[Frequency (GHz)]]&gt;=260),Table1[[#This Row],[Max Chip Thermal Density (W/cm2)]],#N/A)</f>
        <v>#N/A</v>
      </c>
    </row>
    <row r="103" spans="1:47" x14ac:dyDescent="0.2">
      <c r="A103" s="25">
        <f>IF(ISNUMBER(Table1[[#This Row],[Total Pout/Prad (dBm)]]),Table1[[#This Row],[Total Pout/Prad (dBm)]],#N/A)</f>
        <v>-3</v>
      </c>
      <c r="B103" s="1">
        <f>IF(ISNUMBER(Table1[[#This Row],[Total Pout/Prad (dBm)]]),Table1[[#This Row],[Total '# of TX Elements]],#N/A)</f>
        <v>16</v>
      </c>
      <c r="C103" s="1">
        <f>IF(ISNUMBER(Table1[[#This Row],[TX EIRP (dBm)]]),Table1[[#This Row],[TX EIRP (dBm)]],#N/A)</f>
        <v>27.3</v>
      </c>
      <c r="D103" s="1">
        <f>Table1[[#This Row],[TX Pdc (W)]]</f>
        <v>0.79600000000000004</v>
      </c>
      <c r="E103" s="1">
        <f>IF(ISNUMBER(Table1[[#This Row],[Array Aperture Size (cm2)]]),Table1[[#This Row],[Array Aperture Size (cm2)]],IF(Table1[[#This Row],[Antenna on (None, Chip, AiP, PCB)]]="Chip",Table1[[#This Row],[Chip Core Size - X (mm)]]*Table1[[#This Row],[Chip Core Size -Y (mm)]]/100*Table1[[#This Row],['# of IC per Tile]]*Table1[[#This Row],['# of Array Tile]],#N/A))</f>
        <v>6.1419999999999999E-3</v>
      </c>
      <c r="F103" s="1">
        <f t="shared" si="2"/>
        <v>6.296322030493369E-2</v>
      </c>
      <c r="G103" s="1">
        <f t="shared" si="3"/>
        <v>67.466306076664949</v>
      </c>
      <c r="L103" s="1" t="e">
        <f>IF(Table1[[#This Row],[Frequency (GHz)]]&lt;20,Plot_Data_Power!F103,#N/A)</f>
        <v>#N/A</v>
      </c>
      <c r="M103" s="1" t="e">
        <f>IF(AND(Table1[[#This Row],[Frequency (GHz)]]&gt;=20,Table1[[#This Row],[Frequency (GHz)]]&lt;50),Plot_Data_Power!F103,#N/A)</f>
        <v>#N/A</v>
      </c>
      <c r="N103" s="1" t="e">
        <f>IF(AND(Table1[[#This Row],[Frequency (GHz)]]&gt;=50,Table1[[#This Row],[Frequency (GHz)]]&lt;75),Plot_Data_Power!F103,#N/A)</f>
        <v>#N/A</v>
      </c>
      <c r="O103" s="1" t="e">
        <f>IF(AND(Table1[[#This Row],[Frequency (GHz)]]&gt;=75,Table1[[#This Row],[Frequency (GHz)]]&lt;110),Plot_Data_Power!F103,#N/A)</f>
        <v>#N/A</v>
      </c>
      <c r="P103" s="1" t="e">
        <f>IF(AND(Table1[[#This Row],[Frequency (GHz)]]&gt;=110,Table1[[#This Row],[Frequency (GHz)]]&lt;170),Plot_Data_Power!F103,#N/A)</f>
        <v>#N/A</v>
      </c>
      <c r="Q103" s="1" t="e">
        <f>IF(AND(Table1[[#This Row],[Frequency (GHz)]]&gt;=170,Table1[[#This Row],[Frequency (GHz)]]&lt;260),Plot_Data_Power!F103,#N/A)</f>
        <v>#N/A</v>
      </c>
      <c r="R103" s="1">
        <f>IF(Table1[[#This Row],[Frequency (GHz)]]&gt;=260,Plot_Data_Power!F103,#N/A)</f>
        <v>6.296322030493369E-2</v>
      </c>
      <c r="U103" s="1" t="e">
        <f>IF(Table1[[#This Row],[Frequency (GHz)]]&lt;20,Plot_Data_Power!G103,#N/A)</f>
        <v>#N/A</v>
      </c>
      <c r="V103" s="1" t="e">
        <f>IF(AND(Table1[[#This Row],[Frequency (GHz)]]&gt;=20,Table1[[#This Row],[Frequency (GHz)]]&lt;50),Plot_Data_Power!G103,#N/A)</f>
        <v>#N/A</v>
      </c>
      <c r="W103" s="1" t="e">
        <f>IF(AND(Table1[[#This Row],[Frequency (GHz)]]&gt;=50,Table1[[#This Row],[Frequency (GHz)]]&lt;75),Plot_Data_Power!G103,#N/A)</f>
        <v>#N/A</v>
      </c>
      <c r="X103" s="1" t="e">
        <f>IF(AND(Table1[[#This Row],[Frequency (GHz)]]&gt;=75,Table1[[#This Row],[Frequency (GHz)]]&lt;110),Plot_Data_Power!G103,#N/A)</f>
        <v>#N/A</v>
      </c>
      <c r="Y103" s="1" t="e">
        <f>IF(AND(Table1[[#This Row],[Frequency (GHz)]]&gt;=110,Table1[[#This Row],[Frequency (GHz)]]&lt;170),Plot_Data_Power!G103,#N/A)</f>
        <v>#N/A</v>
      </c>
      <c r="Z103" s="1" t="e">
        <f>IF(AND(Table1[[#This Row],[Frequency (GHz)]]&gt;=170,Table1[[#This Row],[Frequency (GHz)]]&lt;260),Plot_Data_Power!G103,#N/A)</f>
        <v>#N/A</v>
      </c>
      <c r="AA103" s="1">
        <f>IF(Table1[[#This Row],[Frequency (GHz)]]&gt;=260,Plot_Data_Power!G103,#N/A)</f>
        <v>67.466306076664949</v>
      </c>
      <c r="AD103" s="1" t="e">
        <f>IF(ISNUMBER(Table1[[#This Row],[Max Package Thermal Density (W/cm2)]]),Table1[[#This Row],[Max Package Thermal Density (W/cm2)]],#N/A)</f>
        <v>#N/A</v>
      </c>
      <c r="AE103" s="1" t="e">
        <f>IF(AND(ISNUMBER((Table1[[#This Row],[Max Package Thermal Density (W/cm2)]])),Table1[[#This Row],[Frequency (GHz)]]&lt;20),Table1[[#This Row],[Max Package Thermal Density (W/cm2)]],#N/A)</f>
        <v>#N/A</v>
      </c>
      <c r="AF103" s="1" t="e">
        <f>IF(AND(ISNUMBER(Table1[[#This Row],[Max Package Thermal Density (W/cm2)]]),Table1[[#This Row],[Frequency (GHz)]]&gt;=20,Table1[[#This Row],[Frequency (GHz)]]&lt;50),Table1[[#This Row],[Max Package Thermal Density (W/cm2)]],#N/A)</f>
        <v>#N/A</v>
      </c>
      <c r="AG103" s="1" t="e">
        <f>IF(AND(ISNUMBER(Table1[[#This Row],[Max Package Thermal Density (W/cm2)]]),Table1[[#This Row],[Frequency (GHz)]]&gt;=50,Table1[[#This Row],[Frequency (GHz)]]&lt;75),Table1[[#This Row],[Max Package Thermal Density (W/cm2)]],#N/A)</f>
        <v>#N/A</v>
      </c>
      <c r="AH103" s="1" t="e">
        <f>IF(AND(ISNUMBER(Table1[[#This Row],[Max Package Thermal Density (W/cm2)]]),Table1[[#This Row],[Frequency (GHz)]]&gt;=75,Table1[[#This Row],[Frequency (GHz)]]&lt;110),Table1[[#This Row],[Max Package Thermal Density (W/cm2)]],#N/A)</f>
        <v>#N/A</v>
      </c>
      <c r="AI103" s="1" t="e">
        <f>IF(AND(ISNUMBER(Table1[[#This Row],[Max Package Thermal Density (W/cm2)]]),Table1[[#This Row],[Frequency (GHz)]]&gt;=110,Table1[[#This Row],[Frequency (GHz)]]&lt;170),Table1[[#This Row],[Max Package Thermal Density (W/cm2)]],#N/A)</f>
        <v>#N/A</v>
      </c>
      <c r="AJ103" s="1" t="e">
        <f>IF(AND(ISNUMBER(Table1[[#This Row],[Max Package Thermal Density (W/cm2)]]),Table1[[#This Row],[Frequency (GHz)]]&gt;=170,Table1[[#This Row],[Frequency (GHz)]]&lt;260),Table1[[#This Row],[Max Package Thermal Density (W/cm2)]],#N/A)</f>
        <v>#N/A</v>
      </c>
      <c r="AK103" s="1" t="e">
        <f>IF(AND(ISNUMBER(Table1[[#This Row],[Max Package Thermal Density (W/cm2)]]),Table1[[#This Row],[Frequency (GHz)]]&gt;=260),Table1[[#This Row],[Max Package Thermal Density (W/cm2)]],#N/A)</f>
        <v>#N/A</v>
      </c>
      <c r="AN103" s="1">
        <f>IF(ISNUMBER(Table1[[#This Row],[Max Chip Thermal Density (W/cm2)]]),Table1[[#This Row],[Max Chip Thermal Density (W/cm2)]],#N/A)</f>
        <v>81.909857995472336</v>
      </c>
      <c r="AO103" s="1" t="e">
        <f>IF(AND(ISNUMBER((Table1[[#This Row],[Max Chip Thermal Density (W/cm2)]])),Table1[[#This Row],[Frequency (GHz)]]&lt;20),Table1[[#This Row],[Max Chip Thermal Density (W/cm2)]],#N/A)</f>
        <v>#N/A</v>
      </c>
      <c r="AP103" s="1" t="e">
        <f>IF(AND(ISNUMBER(Table1[[#This Row],[Max Chip Thermal Density (W/cm2)]]),Table1[[#This Row],[Frequency (GHz)]]&gt;=20,Table1[[#This Row],[Frequency (GHz)]]&lt;50),Table1[[#This Row],[Max Chip Thermal Density (W/cm2)]],#N/A)</f>
        <v>#N/A</v>
      </c>
      <c r="AQ103" s="1" t="e">
        <f>IF(AND(ISNUMBER(Table1[[#This Row],[Max Chip Thermal Density (W/cm2)]]),Table1[[#This Row],[Frequency (GHz)]]&gt;=50,Table1[[#This Row],[Frequency (GHz)]]&lt;75),Table1[[#This Row],[Max Chip Thermal Density (W/cm2)]],#N/A)</f>
        <v>#N/A</v>
      </c>
      <c r="AR103" s="1" t="e">
        <f>IF(AND(ISNUMBER(Table1[[#This Row],[Max Chip Thermal Density (W/cm2)]]),Table1[[#This Row],[Frequency (GHz)]]&gt;=75,Table1[[#This Row],[Frequency (GHz)]]&lt;110),Table1[[#This Row],[Max Chip Thermal Density (W/cm2)]],#N/A)</f>
        <v>#N/A</v>
      </c>
      <c r="AS103" s="1" t="e">
        <f>IF(AND(ISNUMBER(Table1[[#This Row],[Max Chip Thermal Density (W/cm2)]]),Table1[[#This Row],[Frequency (GHz)]]&gt;=110,Table1[[#This Row],[Frequency (GHz)]]&lt;170),Table1[[#This Row],[Max Chip Thermal Density (W/cm2)]],#N/A)</f>
        <v>#N/A</v>
      </c>
      <c r="AT103" s="1" t="e">
        <f>IF(AND(ISNUMBER(Table1[[#This Row],[Max Chip Thermal Density (W/cm2)]]),Table1[[#This Row],[Frequency (GHz)]]&gt;=170,Table1[[#This Row],[Frequency (GHz)]]&lt;260),Table1[[#This Row],[Max Chip Thermal Density (W/cm2)]],#N/A)</f>
        <v>#N/A</v>
      </c>
      <c r="AU103" s="1">
        <f>IF(AND(ISNUMBER(Table1[[#This Row],[Max Chip Thermal Density (W/cm2)]]),Table1[[#This Row],[Frequency (GHz)]]&gt;=260),Table1[[#This Row],[Max Chip Thermal Density (W/cm2)]],#N/A)</f>
        <v>81.909857995472336</v>
      </c>
    </row>
    <row r="104" spans="1:47" x14ac:dyDescent="0.2">
      <c r="A104" s="25">
        <f>IF(ISNUMBER(Table1[[#This Row],[Total Pout/Prad (dBm)]]),Table1[[#This Row],[Total Pout/Prad (dBm)]],#N/A)</f>
        <v>28.561799739838875</v>
      </c>
      <c r="B104" s="1">
        <f>IF(ISNUMBER(Table1[[#This Row],[Total Pout/Prad (dBm)]]),Table1[[#This Row],[Total '# of TX Elements]],#N/A)</f>
        <v>64</v>
      </c>
      <c r="C104" s="1">
        <f>IF(ISNUMBER(Table1[[#This Row],[TX EIRP (dBm)]]),Table1[[#This Row],[TX EIRP (dBm)]],#N/A)</f>
        <v>70.400000000000006</v>
      </c>
      <c r="D104" s="1">
        <f>Table1[[#This Row],[TX Pdc (W)]]</f>
        <v>48</v>
      </c>
      <c r="E104" s="1">
        <f>IF(ISNUMBER(Table1[[#This Row],[Array Aperture Size (cm2)]]),Table1[[#This Row],[Array Aperture Size (cm2)]],IF(Table1[[#This Row],[Antenna on (None, Chip, AiP, PCB)]]="Chip",Table1[[#This Row],[Chip Core Size - X (mm)]]*Table1[[#This Row],[Chip Core Size -Y (mm)]]/100*Table1[[#This Row],['# of IC per Tile]]*Table1[[#This Row],['# of Array Tile]],#N/A))</f>
        <v>1364</v>
      </c>
      <c r="F104" s="1">
        <f t="shared" si="2"/>
        <v>1.4960246057359528</v>
      </c>
      <c r="G104" s="1">
        <f>IF(AND(ISNUMBER(C104),ISNUMBER(D104)),(10^(C104/10)/1000)/D104*100,#N/A)</f>
        <v>22843.295752983111</v>
      </c>
      <c r="L104" s="1">
        <f>IF(Table1[[#This Row],[Frequency (GHz)]]&lt;20,Plot_Data_Power!F104,#N/A)</f>
        <v>1.4960246057359528</v>
      </c>
      <c r="M104" s="1" t="e">
        <f>IF(AND(Table1[[#This Row],[Frequency (GHz)]]&gt;=20,Table1[[#This Row],[Frequency (GHz)]]&lt;50),Plot_Data_Power!F104,#N/A)</f>
        <v>#N/A</v>
      </c>
      <c r="N104" s="1" t="e">
        <f>IF(AND(Table1[[#This Row],[Frequency (GHz)]]&gt;=50,Table1[[#This Row],[Frequency (GHz)]]&lt;75),Plot_Data_Power!F104,#N/A)</f>
        <v>#N/A</v>
      </c>
      <c r="O104" s="1" t="e">
        <f>IF(AND(Table1[[#This Row],[Frequency (GHz)]]&gt;=75,Table1[[#This Row],[Frequency (GHz)]]&lt;110),Plot_Data_Power!F104,#N/A)</f>
        <v>#N/A</v>
      </c>
      <c r="P104" s="1" t="e">
        <f>IF(AND(Table1[[#This Row],[Frequency (GHz)]]&gt;=110,Table1[[#This Row],[Frequency (GHz)]]&lt;170),Plot_Data_Power!F104,#N/A)</f>
        <v>#N/A</v>
      </c>
      <c r="Q104" s="1" t="e">
        <f>IF(AND(Table1[[#This Row],[Frequency (GHz)]]&gt;=170,Table1[[#This Row],[Frequency (GHz)]]&lt;260),Plot_Data_Power!F104,#N/A)</f>
        <v>#N/A</v>
      </c>
      <c r="R104" s="1" t="e">
        <f>IF(Table1[[#This Row],[Frequency (GHz)]]&gt;=260,Plot_Data_Power!F104,#N/A)</f>
        <v>#N/A</v>
      </c>
      <c r="U104" s="1">
        <f>IF(Table1[[#This Row],[Frequency (GHz)]]&lt;20,Plot_Data_Power!G104,#N/A)</f>
        <v>22843.295752983111</v>
      </c>
      <c r="V104" s="1" t="e">
        <f>IF(AND(Table1[[#This Row],[Frequency (GHz)]]&gt;=20,Table1[[#This Row],[Frequency (GHz)]]&lt;50),Plot_Data_Power!G104,#N/A)</f>
        <v>#N/A</v>
      </c>
      <c r="W104" s="1" t="e">
        <f>IF(AND(Table1[[#This Row],[Frequency (GHz)]]&gt;=50,Table1[[#This Row],[Frequency (GHz)]]&lt;75),Plot_Data_Power!G104,#N/A)</f>
        <v>#N/A</v>
      </c>
      <c r="X104" s="1" t="e">
        <f>IF(AND(Table1[[#This Row],[Frequency (GHz)]]&gt;=75,Table1[[#This Row],[Frequency (GHz)]]&lt;110),Plot_Data_Power!G104,#N/A)</f>
        <v>#N/A</v>
      </c>
      <c r="Y104" s="1" t="e">
        <f>IF(AND(Table1[[#This Row],[Frequency (GHz)]]&gt;=110,Table1[[#This Row],[Frequency (GHz)]]&lt;170),Plot_Data_Power!G104,#N/A)</f>
        <v>#N/A</v>
      </c>
      <c r="Z104" s="1" t="e">
        <f>IF(AND(Table1[[#This Row],[Frequency (GHz)]]&gt;=170,Table1[[#This Row],[Frequency (GHz)]]&lt;260),Plot_Data_Power!G104,#N/A)</f>
        <v>#N/A</v>
      </c>
      <c r="AA104" s="1" t="e">
        <f>IF(Table1[[#This Row],[Frequency (GHz)]]&gt;=260,Plot_Data_Power!G104,#N/A)</f>
        <v>#N/A</v>
      </c>
      <c r="AD104" s="1">
        <f>IF(ISNUMBER(Table1[[#This Row],[Max Package Thermal Density (W/cm2)]]),Table1[[#This Row],[Max Package Thermal Density (W/cm2)]],#N/A)</f>
        <v>3.519061583577713E-2</v>
      </c>
      <c r="AE104" s="1">
        <f>IF(AND(ISNUMBER((Table1[[#This Row],[Max Package Thermal Density (W/cm2)]])),Table1[[#This Row],[Frequency (GHz)]]&lt;20),Table1[[#This Row],[Max Package Thermal Density (W/cm2)]],#N/A)</f>
        <v>3.519061583577713E-2</v>
      </c>
      <c r="AF104" s="1" t="e">
        <f>IF(AND(ISNUMBER(Table1[[#This Row],[Max Package Thermal Density (W/cm2)]]),Table1[[#This Row],[Frequency (GHz)]]&gt;=20,Table1[[#This Row],[Frequency (GHz)]]&lt;50),Table1[[#This Row],[Max Package Thermal Density (W/cm2)]],#N/A)</f>
        <v>#N/A</v>
      </c>
      <c r="AG104" s="1" t="e">
        <f>IF(AND(ISNUMBER(Table1[[#This Row],[Max Package Thermal Density (W/cm2)]]),Table1[[#This Row],[Frequency (GHz)]]&gt;=50,Table1[[#This Row],[Frequency (GHz)]]&lt;75),Table1[[#This Row],[Max Package Thermal Density (W/cm2)]],#N/A)</f>
        <v>#N/A</v>
      </c>
      <c r="AH104" s="1" t="e">
        <f>IF(AND(ISNUMBER(Table1[[#This Row],[Max Package Thermal Density (W/cm2)]]),Table1[[#This Row],[Frequency (GHz)]]&gt;=75,Table1[[#This Row],[Frequency (GHz)]]&lt;110),Table1[[#This Row],[Max Package Thermal Density (W/cm2)]],#N/A)</f>
        <v>#N/A</v>
      </c>
      <c r="AI104" s="1" t="e">
        <f>IF(AND(ISNUMBER(Table1[[#This Row],[Max Package Thermal Density (W/cm2)]]),Table1[[#This Row],[Frequency (GHz)]]&gt;=110,Table1[[#This Row],[Frequency (GHz)]]&lt;170),Table1[[#This Row],[Max Package Thermal Density (W/cm2)]],#N/A)</f>
        <v>#N/A</v>
      </c>
      <c r="AJ104" s="1" t="e">
        <f>IF(AND(ISNUMBER(Table1[[#This Row],[Max Package Thermal Density (W/cm2)]]),Table1[[#This Row],[Frequency (GHz)]]&gt;=170,Table1[[#This Row],[Frequency (GHz)]]&lt;260),Table1[[#This Row],[Max Package Thermal Density (W/cm2)]],#N/A)</f>
        <v>#N/A</v>
      </c>
      <c r="AK104" s="1" t="e">
        <f>IF(AND(ISNUMBER(Table1[[#This Row],[Max Package Thermal Density (W/cm2)]]),Table1[[#This Row],[Frequency (GHz)]]&gt;=260),Table1[[#This Row],[Max Package Thermal Density (W/cm2)]],#N/A)</f>
        <v>#N/A</v>
      </c>
      <c r="AN104" s="1" t="e">
        <f>IF(ISNUMBER(Table1[[#This Row],[Max Chip Thermal Density (W/cm2)]]),Table1[[#This Row],[Max Chip Thermal Density (W/cm2)]],#N/A)</f>
        <v>#N/A</v>
      </c>
      <c r="AO104" s="1" t="e">
        <f>IF(AND(ISNUMBER((Table1[[#This Row],[Max Chip Thermal Density (W/cm2)]])),Table1[[#This Row],[Frequency (GHz)]]&lt;20),Table1[[#This Row],[Max Chip Thermal Density (W/cm2)]],#N/A)</f>
        <v>#N/A</v>
      </c>
      <c r="AP104" s="1" t="e">
        <f>IF(AND(ISNUMBER(Table1[[#This Row],[Max Chip Thermal Density (W/cm2)]]),Table1[[#This Row],[Frequency (GHz)]]&gt;=20,Table1[[#This Row],[Frequency (GHz)]]&lt;50),Table1[[#This Row],[Max Chip Thermal Density (W/cm2)]],#N/A)</f>
        <v>#N/A</v>
      </c>
      <c r="AQ104" s="1" t="e">
        <f>IF(AND(ISNUMBER(Table1[[#This Row],[Max Chip Thermal Density (W/cm2)]]),Table1[[#This Row],[Frequency (GHz)]]&gt;=50,Table1[[#This Row],[Frequency (GHz)]]&lt;75),Table1[[#This Row],[Max Chip Thermal Density (W/cm2)]],#N/A)</f>
        <v>#N/A</v>
      </c>
      <c r="AR104" s="1" t="e">
        <f>IF(AND(ISNUMBER(Table1[[#This Row],[Max Chip Thermal Density (W/cm2)]]),Table1[[#This Row],[Frequency (GHz)]]&gt;=75,Table1[[#This Row],[Frequency (GHz)]]&lt;110),Table1[[#This Row],[Max Chip Thermal Density (W/cm2)]],#N/A)</f>
        <v>#N/A</v>
      </c>
      <c r="AS104" s="1" t="e">
        <f>IF(AND(ISNUMBER(Table1[[#This Row],[Max Chip Thermal Density (W/cm2)]]),Table1[[#This Row],[Frequency (GHz)]]&gt;=110,Table1[[#This Row],[Frequency (GHz)]]&lt;170),Table1[[#This Row],[Max Chip Thermal Density (W/cm2)]],#N/A)</f>
        <v>#N/A</v>
      </c>
      <c r="AT104" s="1" t="e">
        <f>IF(AND(ISNUMBER(Table1[[#This Row],[Max Chip Thermal Density (W/cm2)]]),Table1[[#This Row],[Frequency (GHz)]]&gt;=170,Table1[[#This Row],[Frequency (GHz)]]&lt;260),Table1[[#This Row],[Max Chip Thermal Density (W/cm2)]],#N/A)</f>
        <v>#N/A</v>
      </c>
      <c r="AU104" s="1" t="e">
        <f>IF(AND(ISNUMBER(Table1[[#This Row],[Max Chip Thermal Density (W/cm2)]]),Table1[[#This Row],[Frequency (GHz)]]&gt;=260),Table1[[#This Row],[Max Chip Thermal Density (W/cm2)]],#N/A)</f>
        <v>#N/A</v>
      </c>
    </row>
    <row r="105" spans="1:47" x14ac:dyDescent="0.2">
      <c r="A105" s="25">
        <f>IF(ISNUMBER(Table1[[#This Row],[Total Pout/Prad (dBm)]]),Table1[[#This Row],[Total Pout/Prad (dBm)]],#N/A)</f>
        <v>5.3</v>
      </c>
      <c r="B105" s="1">
        <f>IF(ISNUMBER(Table1[[#This Row],[Total Pout/Prad (dBm)]]),Table1[[#This Row],[Total '# of TX Elements]],#N/A)</f>
        <v>32</v>
      </c>
      <c r="C105" s="1">
        <f>IF(ISNUMBER(Table1[[#This Row],[TX EIRP (dBm)]]),Table1[[#This Row],[TX EIRP (dBm)]],#N/A)</f>
        <v>41.5</v>
      </c>
      <c r="D105" s="1">
        <f>Table1[[#This Row],[TX Pdc (W)]]</f>
        <v>3.9</v>
      </c>
      <c r="E105" s="1">
        <f>IF(ISNUMBER(Table1[[#This Row],[Array Aperture Size (cm2)]]),Table1[[#This Row],[Array Aperture Size (cm2)]],IF(Table1[[#This Row],[Antenna on (None, Chip, AiP, PCB)]]="Chip",Table1[[#This Row],[Chip Core Size - X (mm)]]*Table1[[#This Row],[Chip Core Size -Y (mm)]]/100*Table1[[#This Row],['# of IC per Tile]]*Table1[[#This Row],['# of Array Tile]],#N/A))</f>
        <v>6.2744000000000009</v>
      </c>
      <c r="F105" s="1">
        <f t="shared" si="2"/>
        <v>8.6883116958769921E-2</v>
      </c>
      <c r="G105" s="1">
        <f t="shared" si="3"/>
        <v>362.18911400583494</v>
      </c>
      <c r="L105" s="1" t="e">
        <f>IF(Table1[[#This Row],[Frequency (GHz)]]&lt;20,Plot_Data_Power!F105,#N/A)</f>
        <v>#N/A</v>
      </c>
      <c r="M105" s="1">
        <f>IF(AND(Table1[[#This Row],[Frequency (GHz)]]&gt;=20,Table1[[#This Row],[Frequency (GHz)]]&lt;50),Plot_Data_Power!F105,#N/A)</f>
        <v>8.6883116958769921E-2</v>
      </c>
      <c r="N105" s="1" t="e">
        <f>IF(AND(Table1[[#This Row],[Frequency (GHz)]]&gt;=50,Table1[[#This Row],[Frequency (GHz)]]&lt;75),Plot_Data_Power!F105,#N/A)</f>
        <v>#N/A</v>
      </c>
      <c r="O105" s="1" t="e">
        <f>IF(AND(Table1[[#This Row],[Frequency (GHz)]]&gt;=75,Table1[[#This Row],[Frequency (GHz)]]&lt;110),Plot_Data_Power!F105,#N/A)</f>
        <v>#N/A</v>
      </c>
      <c r="P105" s="1" t="e">
        <f>IF(AND(Table1[[#This Row],[Frequency (GHz)]]&gt;=110,Table1[[#This Row],[Frequency (GHz)]]&lt;170),Plot_Data_Power!F105,#N/A)</f>
        <v>#N/A</v>
      </c>
      <c r="Q105" s="1" t="e">
        <f>IF(AND(Table1[[#This Row],[Frequency (GHz)]]&gt;=170,Table1[[#This Row],[Frequency (GHz)]]&lt;260),Plot_Data_Power!F105,#N/A)</f>
        <v>#N/A</v>
      </c>
      <c r="R105" s="1" t="e">
        <f>IF(Table1[[#This Row],[Frequency (GHz)]]&gt;=260,Plot_Data_Power!F105,#N/A)</f>
        <v>#N/A</v>
      </c>
      <c r="U105" s="1" t="e">
        <f>IF(Table1[[#This Row],[Frequency (GHz)]]&lt;20,Plot_Data_Power!G105,#N/A)</f>
        <v>#N/A</v>
      </c>
      <c r="V105" s="1">
        <f>IF(AND(Table1[[#This Row],[Frequency (GHz)]]&gt;=20,Table1[[#This Row],[Frequency (GHz)]]&lt;50),Plot_Data_Power!G105,#N/A)</f>
        <v>362.18911400583494</v>
      </c>
      <c r="W105" s="1" t="e">
        <f>IF(AND(Table1[[#This Row],[Frequency (GHz)]]&gt;=50,Table1[[#This Row],[Frequency (GHz)]]&lt;75),Plot_Data_Power!G105,#N/A)</f>
        <v>#N/A</v>
      </c>
      <c r="X105" s="1" t="e">
        <f>IF(AND(Table1[[#This Row],[Frequency (GHz)]]&gt;=75,Table1[[#This Row],[Frequency (GHz)]]&lt;110),Plot_Data_Power!G105,#N/A)</f>
        <v>#N/A</v>
      </c>
      <c r="Y105" s="1" t="e">
        <f>IF(AND(Table1[[#This Row],[Frequency (GHz)]]&gt;=110,Table1[[#This Row],[Frequency (GHz)]]&lt;170),Plot_Data_Power!G105,#N/A)</f>
        <v>#N/A</v>
      </c>
      <c r="Z105" s="1" t="e">
        <f>IF(AND(Table1[[#This Row],[Frequency (GHz)]]&gt;=170,Table1[[#This Row],[Frequency (GHz)]]&lt;260),Plot_Data_Power!G105,#N/A)</f>
        <v>#N/A</v>
      </c>
      <c r="AA105" s="1" t="e">
        <f>IF(Table1[[#This Row],[Frequency (GHz)]]&gt;=260,Plot_Data_Power!G105,#N/A)</f>
        <v>#N/A</v>
      </c>
      <c r="AD105" s="1">
        <f>IF(ISNUMBER(Table1[[#This Row],[Max Package Thermal Density (W/cm2)]]),Table1[[#This Row],[Max Package Thermal Density (W/cm2)]],#N/A)</f>
        <v>0.6215733775341068</v>
      </c>
      <c r="AE105" s="1" t="e">
        <f>IF(AND(ISNUMBER((Table1[[#This Row],[Max Package Thermal Density (W/cm2)]])),Table1[[#This Row],[Frequency (GHz)]]&lt;20),Table1[[#This Row],[Max Package Thermal Density (W/cm2)]],#N/A)</f>
        <v>#N/A</v>
      </c>
      <c r="AF105" s="1">
        <f>IF(AND(ISNUMBER(Table1[[#This Row],[Max Package Thermal Density (W/cm2)]]),Table1[[#This Row],[Frequency (GHz)]]&gt;=20,Table1[[#This Row],[Frequency (GHz)]]&lt;50),Table1[[#This Row],[Max Package Thermal Density (W/cm2)]],#N/A)</f>
        <v>0.6215733775341068</v>
      </c>
      <c r="AG105" s="1" t="e">
        <f>IF(AND(ISNUMBER(Table1[[#This Row],[Max Package Thermal Density (W/cm2)]]),Table1[[#This Row],[Frequency (GHz)]]&gt;=50,Table1[[#This Row],[Frequency (GHz)]]&lt;75),Table1[[#This Row],[Max Package Thermal Density (W/cm2)]],#N/A)</f>
        <v>#N/A</v>
      </c>
      <c r="AH105" s="1" t="e">
        <f>IF(AND(ISNUMBER(Table1[[#This Row],[Max Package Thermal Density (W/cm2)]]),Table1[[#This Row],[Frequency (GHz)]]&gt;=75,Table1[[#This Row],[Frequency (GHz)]]&lt;110),Table1[[#This Row],[Max Package Thermal Density (W/cm2)]],#N/A)</f>
        <v>#N/A</v>
      </c>
      <c r="AI105" s="1" t="e">
        <f>IF(AND(ISNUMBER(Table1[[#This Row],[Max Package Thermal Density (W/cm2)]]),Table1[[#This Row],[Frequency (GHz)]]&gt;=110,Table1[[#This Row],[Frequency (GHz)]]&lt;170),Table1[[#This Row],[Max Package Thermal Density (W/cm2)]],#N/A)</f>
        <v>#N/A</v>
      </c>
      <c r="AJ105" s="1" t="e">
        <f>IF(AND(ISNUMBER(Table1[[#This Row],[Max Package Thermal Density (W/cm2)]]),Table1[[#This Row],[Frequency (GHz)]]&gt;=170,Table1[[#This Row],[Frequency (GHz)]]&lt;260),Table1[[#This Row],[Max Package Thermal Density (W/cm2)]],#N/A)</f>
        <v>#N/A</v>
      </c>
      <c r="AK105" s="1" t="e">
        <f>IF(AND(ISNUMBER(Table1[[#This Row],[Max Package Thermal Density (W/cm2)]]),Table1[[#This Row],[Frequency (GHz)]]&gt;=260),Table1[[#This Row],[Max Package Thermal Density (W/cm2)]],#N/A)</f>
        <v>#N/A</v>
      </c>
      <c r="AN105" s="1" t="e">
        <f>IF(ISNUMBER(Table1[[#This Row],[Max Chip Thermal Density (W/cm2)]]),Table1[[#This Row],[Max Chip Thermal Density (W/cm2)]],#N/A)</f>
        <v>#N/A</v>
      </c>
      <c r="AO105" s="1" t="e">
        <f>IF(AND(ISNUMBER((Table1[[#This Row],[Max Chip Thermal Density (W/cm2)]])),Table1[[#This Row],[Frequency (GHz)]]&lt;20),Table1[[#This Row],[Max Chip Thermal Density (W/cm2)]],#N/A)</f>
        <v>#N/A</v>
      </c>
      <c r="AP105" s="1" t="e">
        <f>IF(AND(ISNUMBER(Table1[[#This Row],[Max Chip Thermal Density (W/cm2)]]),Table1[[#This Row],[Frequency (GHz)]]&gt;=20,Table1[[#This Row],[Frequency (GHz)]]&lt;50),Table1[[#This Row],[Max Chip Thermal Density (W/cm2)]],#N/A)</f>
        <v>#N/A</v>
      </c>
      <c r="AQ105" s="1" t="e">
        <f>IF(AND(ISNUMBER(Table1[[#This Row],[Max Chip Thermal Density (W/cm2)]]),Table1[[#This Row],[Frequency (GHz)]]&gt;=50,Table1[[#This Row],[Frequency (GHz)]]&lt;75),Table1[[#This Row],[Max Chip Thermal Density (W/cm2)]],#N/A)</f>
        <v>#N/A</v>
      </c>
      <c r="AR105" s="1" t="e">
        <f>IF(AND(ISNUMBER(Table1[[#This Row],[Max Chip Thermal Density (W/cm2)]]),Table1[[#This Row],[Frequency (GHz)]]&gt;=75,Table1[[#This Row],[Frequency (GHz)]]&lt;110),Table1[[#This Row],[Max Chip Thermal Density (W/cm2)]],#N/A)</f>
        <v>#N/A</v>
      </c>
      <c r="AS105" s="1" t="e">
        <f>IF(AND(ISNUMBER(Table1[[#This Row],[Max Chip Thermal Density (W/cm2)]]),Table1[[#This Row],[Frequency (GHz)]]&gt;=110,Table1[[#This Row],[Frequency (GHz)]]&lt;170),Table1[[#This Row],[Max Chip Thermal Density (W/cm2)]],#N/A)</f>
        <v>#N/A</v>
      </c>
      <c r="AT105" s="1" t="e">
        <f>IF(AND(ISNUMBER(Table1[[#This Row],[Max Chip Thermal Density (W/cm2)]]),Table1[[#This Row],[Frequency (GHz)]]&gt;=170,Table1[[#This Row],[Frequency (GHz)]]&lt;260),Table1[[#This Row],[Max Chip Thermal Density (W/cm2)]],#N/A)</f>
        <v>#N/A</v>
      </c>
      <c r="AU105" s="1" t="e">
        <f>IF(AND(ISNUMBER(Table1[[#This Row],[Max Chip Thermal Density (W/cm2)]]),Table1[[#This Row],[Frequency (GHz)]]&gt;=260),Table1[[#This Row],[Max Chip Thermal Density (W/cm2)]],#N/A)</f>
        <v>#N/A</v>
      </c>
    </row>
    <row r="106" spans="1:47" x14ac:dyDescent="0.2">
      <c r="A106" s="25">
        <f>IF(ISNUMBER(Table1[[#This Row],[Total Pout/Prad (dBm)]]),Table1[[#This Row],[Total Pout/Prad (dBm)]],#N/A)</f>
        <v>5.3</v>
      </c>
      <c r="B106" s="1">
        <f>IF(ISNUMBER(Table1[[#This Row],[Total Pout/Prad (dBm)]]),Table1[[#This Row],[Total '# of TX Elements]],#N/A)</f>
        <v>32</v>
      </c>
      <c r="C106" s="1">
        <f>IF(ISNUMBER(Table1[[#This Row],[TX EIRP (dBm)]]),Table1[[#This Row],[TX EIRP (dBm)]],#N/A)</f>
        <v>41.5</v>
      </c>
      <c r="D106" s="1">
        <f>Table1[[#This Row],[TX Pdc (W)]]</f>
        <v>3.9</v>
      </c>
      <c r="E106" s="1">
        <f>IF(ISNUMBER(Table1[[#This Row],[Array Aperture Size (cm2)]]),Table1[[#This Row],[Array Aperture Size (cm2)]],IF(Table1[[#This Row],[Antenna on (None, Chip, AiP, PCB)]]="Chip",Table1[[#This Row],[Chip Core Size - X (mm)]]*Table1[[#This Row],[Chip Core Size -Y (mm)]]/100*Table1[[#This Row],['# of IC per Tile]]*Table1[[#This Row],['# of Array Tile]],#N/A))</f>
        <v>6.2744000000000009</v>
      </c>
      <c r="F106" s="1">
        <f t="shared" si="2"/>
        <v>8.6883116958769921E-2</v>
      </c>
      <c r="G106" s="1">
        <f t="shared" si="3"/>
        <v>362.18911400583494</v>
      </c>
      <c r="L106" s="1" t="e">
        <f>IF(Table1[[#This Row],[Frequency (GHz)]]&lt;20,Plot_Data_Power!F106,#N/A)</f>
        <v>#N/A</v>
      </c>
      <c r="M106" s="1">
        <f>IF(AND(Table1[[#This Row],[Frequency (GHz)]]&gt;=20,Table1[[#This Row],[Frequency (GHz)]]&lt;50),Plot_Data_Power!F106,#N/A)</f>
        <v>8.6883116958769921E-2</v>
      </c>
      <c r="N106" s="1" t="e">
        <f>IF(AND(Table1[[#This Row],[Frequency (GHz)]]&gt;=50,Table1[[#This Row],[Frequency (GHz)]]&lt;75),Plot_Data_Power!F106,#N/A)</f>
        <v>#N/A</v>
      </c>
      <c r="O106" s="1" t="e">
        <f>IF(AND(Table1[[#This Row],[Frequency (GHz)]]&gt;=75,Table1[[#This Row],[Frequency (GHz)]]&lt;110),Plot_Data_Power!F106,#N/A)</f>
        <v>#N/A</v>
      </c>
      <c r="P106" s="1" t="e">
        <f>IF(AND(Table1[[#This Row],[Frequency (GHz)]]&gt;=110,Table1[[#This Row],[Frequency (GHz)]]&lt;170),Plot_Data_Power!F106,#N/A)</f>
        <v>#N/A</v>
      </c>
      <c r="Q106" s="1" t="e">
        <f>IF(AND(Table1[[#This Row],[Frequency (GHz)]]&gt;=170,Table1[[#This Row],[Frequency (GHz)]]&lt;260),Plot_Data_Power!F106,#N/A)</f>
        <v>#N/A</v>
      </c>
      <c r="R106" s="1" t="e">
        <f>IF(Table1[[#This Row],[Frequency (GHz)]]&gt;=260,Plot_Data_Power!F106,#N/A)</f>
        <v>#N/A</v>
      </c>
      <c r="U106" s="1" t="e">
        <f>IF(Table1[[#This Row],[Frequency (GHz)]]&lt;20,Plot_Data_Power!G106,#N/A)</f>
        <v>#N/A</v>
      </c>
      <c r="V106" s="1">
        <f>IF(AND(Table1[[#This Row],[Frequency (GHz)]]&gt;=20,Table1[[#This Row],[Frequency (GHz)]]&lt;50),Plot_Data_Power!G106,#N/A)</f>
        <v>362.18911400583494</v>
      </c>
      <c r="W106" s="1" t="e">
        <f>IF(AND(Table1[[#This Row],[Frequency (GHz)]]&gt;=50,Table1[[#This Row],[Frequency (GHz)]]&lt;75),Plot_Data_Power!G106,#N/A)</f>
        <v>#N/A</v>
      </c>
      <c r="X106" s="1" t="e">
        <f>IF(AND(Table1[[#This Row],[Frequency (GHz)]]&gt;=75,Table1[[#This Row],[Frequency (GHz)]]&lt;110),Plot_Data_Power!G106,#N/A)</f>
        <v>#N/A</v>
      </c>
      <c r="Y106" s="1" t="e">
        <f>IF(AND(Table1[[#This Row],[Frequency (GHz)]]&gt;=110,Table1[[#This Row],[Frequency (GHz)]]&lt;170),Plot_Data_Power!G106,#N/A)</f>
        <v>#N/A</v>
      </c>
      <c r="Z106" s="1" t="e">
        <f>IF(AND(Table1[[#This Row],[Frequency (GHz)]]&gt;=170,Table1[[#This Row],[Frequency (GHz)]]&lt;260),Plot_Data_Power!G106,#N/A)</f>
        <v>#N/A</v>
      </c>
      <c r="AA106" s="1" t="e">
        <f>IF(Table1[[#This Row],[Frequency (GHz)]]&gt;=260,Plot_Data_Power!G106,#N/A)</f>
        <v>#N/A</v>
      </c>
      <c r="AD106" s="1">
        <f>IF(ISNUMBER(Table1[[#This Row],[Max Package Thermal Density (W/cm2)]]),Table1[[#This Row],[Max Package Thermal Density (W/cm2)]],#N/A)</f>
        <v>0.6215733775341068</v>
      </c>
      <c r="AE106" s="1" t="e">
        <f>IF(AND(ISNUMBER((Table1[[#This Row],[Max Package Thermal Density (W/cm2)]])),Table1[[#This Row],[Frequency (GHz)]]&lt;20),Table1[[#This Row],[Max Package Thermal Density (W/cm2)]],#N/A)</f>
        <v>#N/A</v>
      </c>
      <c r="AF106" s="1">
        <f>IF(AND(ISNUMBER(Table1[[#This Row],[Max Package Thermal Density (W/cm2)]]),Table1[[#This Row],[Frequency (GHz)]]&gt;=20,Table1[[#This Row],[Frequency (GHz)]]&lt;50),Table1[[#This Row],[Max Package Thermal Density (W/cm2)]],#N/A)</f>
        <v>0.6215733775341068</v>
      </c>
      <c r="AG106" s="1" t="e">
        <f>IF(AND(ISNUMBER(Table1[[#This Row],[Max Package Thermal Density (W/cm2)]]),Table1[[#This Row],[Frequency (GHz)]]&gt;=50,Table1[[#This Row],[Frequency (GHz)]]&lt;75),Table1[[#This Row],[Max Package Thermal Density (W/cm2)]],#N/A)</f>
        <v>#N/A</v>
      </c>
      <c r="AH106" s="1" t="e">
        <f>IF(AND(ISNUMBER(Table1[[#This Row],[Max Package Thermal Density (W/cm2)]]),Table1[[#This Row],[Frequency (GHz)]]&gt;=75,Table1[[#This Row],[Frequency (GHz)]]&lt;110),Table1[[#This Row],[Max Package Thermal Density (W/cm2)]],#N/A)</f>
        <v>#N/A</v>
      </c>
      <c r="AI106" s="1" t="e">
        <f>IF(AND(ISNUMBER(Table1[[#This Row],[Max Package Thermal Density (W/cm2)]]),Table1[[#This Row],[Frequency (GHz)]]&gt;=110,Table1[[#This Row],[Frequency (GHz)]]&lt;170),Table1[[#This Row],[Max Package Thermal Density (W/cm2)]],#N/A)</f>
        <v>#N/A</v>
      </c>
      <c r="AJ106" s="1" t="e">
        <f>IF(AND(ISNUMBER(Table1[[#This Row],[Max Package Thermal Density (W/cm2)]]),Table1[[#This Row],[Frequency (GHz)]]&gt;=170,Table1[[#This Row],[Frequency (GHz)]]&lt;260),Table1[[#This Row],[Max Package Thermal Density (W/cm2)]],#N/A)</f>
        <v>#N/A</v>
      </c>
      <c r="AK106" s="1" t="e">
        <f>IF(AND(ISNUMBER(Table1[[#This Row],[Max Package Thermal Density (W/cm2)]]),Table1[[#This Row],[Frequency (GHz)]]&gt;=260),Table1[[#This Row],[Max Package Thermal Density (W/cm2)]],#N/A)</f>
        <v>#N/A</v>
      </c>
      <c r="AN106" s="1" t="e">
        <f>IF(ISNUMBER(Table1[[#This Row],[Max Chip Thermal Density (W/cm2)]]),Table1[[#This Row],[Max Chip Thermal Density (W/cm2)]],#N/A)</f>
        <v>#N/A</v>
      </c>
      <c r="AO106" s="1" t="e">
        <f>IF(AND(ISNUMBER((Table1[[#This Row],[Max Chip Thermal Density (W/cm2)]])),Table1[[#This Row],[Frequency (GHz)]]&lt;20),Table1[[#This Row],[Max Chip Thermal Density (W/cm2)]],#N/A)</f>
        <v>#N/A</v>
      </c>
      <c r="AP106" s="1" t="e">
        <f>IF(AND(ISNUMBER(Table1[[#This Row],[Max Chip Thermal Density (W/cm2)]]),Table1[[#This Row],[Frequency (GHz)]]&gt;=20,Table1[[#This Row],[Frequency (GHz)]]&lt;50),Table1[[#This Row],[Max Chip Thermal Density (W/cm2)]],#N/A)</f>
        <v>#N/A</v>
      </c>
      <c r="AQ106" s="1" t="e">
        <f>IF(AND(ISNUMBER(Table1[[#This Row],[Max Chip Thermal Density (W/cm2)]]),Table1[[#This Row],[Frequency (GHz)]]&gt;=50,Table1[[#This Row],[Frequency (GHz)]]&lt;75),Table1[[#This Row],[Max Chip Thermal Density (W/cm2)]],#N/A)</f>
        <v>#N/A</v>
      </c>
      <c r="AR106" s="1" t="e">
        <f>IF(AND(ISNUMBER(Table1[[#This Row],[Max Chip Thermal Density (W/cm2)]]),Table1[[#This Row],[Frequency (GHz)]]&gt;=75,Table1[[#This Row],[Frequency (GHz)]]&lt;110),Table1[[#This Row],[Max Chip Thermal Density (W/cm2)]],#N/A)</f>
        <v>#N/A</v>
      </c>
      <c r="AS106" s="1" t="e">
        <f>IF(AND(ISNUMBER(Table1[[#This Row],[Max Chip Thermal Density (W/cm2)]]),Table1[[#This Row],[Frequency (GHz)]]&gt;=110,Table1[[#This Row],[Frequency (GHz)]]&lt;170),Table1[[#This Row],[Max Chip Thermal Density (W/cm2)]],#N/A)</f>
        <v>#N/A</v>
      </c>
      <c r="AT106" s="1" t="e">
        <f>IF(AND(ISNUMBER(Table1[[#This Row],[Max Chip Thermal Density (W/cm2)]]),Table1[[#This Row],[Frequency (GHz)]]&gt;=170,Table1[[#This Row],[Frequency (GHz)]]&lt;260),Table1[[#This Row],[Max Chip Thermal Density (W/cm2)]],#N/A)</f>
        <v>#N/A</v>
      </c>
      <c r="AU106" s="1" t="e">
        <f>IF(AND(ISNUMBER(Table1[[#This Row],[Max Chip Thermal Density (W/cm2)]]),Table1[[#This Row],[Frequency (GHz)]]&gt;=260),Table1[[#This Row],[Max Chip Thermal Density (W/cm2)]],#N/A)</f>
        <v>#N/A</v>
      </c>
    </row>
    <row r="107" spans="1:47" x14ac:dyDescent="0.2">
      <c r="A107" s="25">
        <f>IF(ISNUMBER(Table1[[#This Row],[Total Pout/Prad (dBm)]]),Table1[[#This Row],[Total Pout/Prad (dBm)]],#N/A)</f>
        <v>22.041199826559247</v>
      </c>
      <c r="B107" s="1">
        <f>IF(ISNUMBER(Table1[[#This Row],[Total Pout/Prad (dBm)]]),Table1[[#This Row],[Total '# of TX Elements]],#N/A)</f>
        <v>16</v>
      </c>
      <c r="C107" s="1">
        <f>IF(ISNUMBER(Table1[[#This Row],[TX EIRP (dBm)]]),Table1[[#This Row],[TX EIRP (dBm)]],#N/A)</f>
        <v>41</v>
      </c>
      <c r="D107" s="1">
        <f>Table1[[#This Row],[TX Pdc (W)]]</f>
        <v>2.6</v>
      </c>
      <c r="E107"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07" s="1">
        <f t="shared" si="2"/>
        <v>6.1538461538461515</v>
      </c>
      <c r="G107" s="1">
        <f t="shared" si="3"/>
        <v>484.20208145929502</v>
      </c>
      <c r="L107" s="1" t="e">
        <f>IF(Table1[[#This Row],[Frequency (GHz)]]&lt;20,Plot_Data_Power!F107,#N/A)</f>
        <v>#N/A</v>
      </c>
      <c r="M107" s="1">
        <f>IF(AND(Table1[[#This Row],[Frequency (GHz)]]&gt;=20,Table1[[#This Row],[Frequency (GHz)]]&lt;50),Plot_Data_Power!F107,#N/A)</f>
        <v>6.1538461538461515</v>
      </c>
      <c r="N107" s="1" t="e">
        <f>IF(AND(Table1[[#This Row],[Frequency (GHz)]]&gt;=50,Table1[[#This Row],[Frequency (GHz)]]&lt;75),Plot_Data_Power!F107,#N/A)</f>
        <v>#N/A</v>
      </c>
      <c r="O107" s="1" t="e">
        <f>IF(AND(Table1[[#This Row],[Frequency (GHz)]]&gt;=75,Table1[[#This Row],[Frequency (GHz)]]&lt;110),Plot_Data_Power!F107,#N/A)</f>
        <v>#N/A</v>
      </c>
      <c r="P107" s="1" t="e">
        <f>IF(AND(Table1[[#This Row],[Frequency (GHz)]]&gt;=110,Table1[[#This Row],[Frequency (GHz)]]&lt;170),Plot_Data_Power!F107,#N/A)</f>
        <v>#N/A</v>
      </c>
      <c r="Q107" s="1" t="e">
        <f>IF(AND(Table1[[#This Row],[Frequency (GHz)]]&gt;=170,Table1[[#This Row],[Frequency (GHz)]]&lt;260),Plot_Data_Power!F107,#N/A)</f>
        <v>#N/A</v>
      </c>
      <c r="R107" s="1" t="e">
        <f>IF(Table1[[#This Row],[Frequency (GHz)]]&gt;=260,Plot_Data_Power!F107,#N/A)</f>
        <v>#N/A</v>
      </c>
      <c r="U107" s="1" t="e">
        <f>IF(Table1[[#This Row],[Frequency (GHz)]]&lt;20,Plot_Data_Power!G107,#N/A)</f>
        <v>#N/A</v>
      </c>
      <c r="V107" s="1">
        <f>IF(AND(Table1[[#This Row],[Frequency (GHz)]]&gt;=20,Table1[[#This Row],[Frequency (GHz)]]&lt;50),Plot_Data_Power!G107,#N/A)</f>
        <v>484.20208145929502</v>
      </c>
      <c r="W107" s="1" t="e">
        <f>IF(AND(Table1[[#This Row],[Frequency (GHz)]]&gt;=50,Table1[[#This Row],[Frequency (GHz)]]&lt;75),Plot_Data_Power!G107,#N/A)</f>
        <v>#N/A</v>
      </c>
      <c r="X107" s="1" t="e">
        <f>IF(AND(Table1[[#This Row],[Frequency (GHz)]]&gt;=75,Table1[[#This Row],[Frequency (GHz)]]&lt;110),Plot_Data_Power!G107,#N/A)</f>
        <v>#N/A</v>
      </c>
      <c r="Y107" s="1" t="e">
        <f>IF(AND(Table1[[#This Row],[Frequency (GHz)]]&gt;=110,Table1[[#This Row],[Frequency (GHz)]]&lt;170),Plot_Data_Power!G107,#N/A)</f>
        <v>#N/A</v>
      </c>
      <c r="Z107" s="1" t="e">
        <f>IF(AND(Table1[[#This Row],[Frequency (GHz)]]&gt;=170,Table1[[#This Row],[Frequency (GHz)]]&lt;260),Plot_Data_Power!G107,#N/A)</f>
        <v>#N/A</v>
      </c>
      <c r="AA107" s="1" t="e">
        <f>IF(Table1[[#This Row],[Frequency (GHz)]]&gt;=260,Plot_Data_Power!G107,#N/A)</f>
        <v>#N/A</v>
      </c>
      <c r="AD107" s="1" t="e">
        <f>IF(ISNUMBER(Table1[[#This Row],[Max Package Thermal Density (W/cm2)]]),Table1[[#This Row],[Max Package Thermal Density (W/cm2)]],#N/A)</f>
        <v>#N/A</v>
      </c>
      <c r="AE107" s="1" t="e">
        <f>IF(AND(ISNUMBER((Table1[[#This Row],[Max Package Thermal Density (W/cm2)]])),Table1[[#This Row],[Frequency (GHz)]]&lt;20),Table1[[#This Row],[Max Package Thermal Density (W/cm2)]],#N/A)</f>
        <v>#N/A</v>
      </c>
      <c r="AF107" s="1" t="e">
        <f>IF(AND(ISNUMBER(Table1[[#This Row],[Max Package Thermal Density (W/cm2)]]),Table1[[#This Row],[Frequency (GHz)]]&gt;=20,Table1[[#This Row],[Frequency (GHz)]]&lt;50),Table1[[#This Row],[Max Package Thermal Density (W/cm2)]],#N/A)</f>
        <v>#N/A</v>
      </c>
      <c r="AG107" s="1" t="e">
        <f>IF(AND(ISNUMBER(Table1[[#This Row],[Max Package Thermal Density (W/cm2)]]),Table1[[#This Row],[Frequency (GHz)]]&gt;=50,Table1[[#This Row],[Frequency (GHz)]]&lt;75),Table1[[#This Row],[Max Package Thermal Density (W/cm2)]],#N/A)</f>
        <v>#N/A</v>
      </c>
      <c r="AH107" s="1" t="e">
        <f>IF(AND(ISNUMBER(Table1[[#This Row],[Max Package Thermal Density (W/cm2)]]),Table1[[#This Row],[Frequency (GHz)]]&gt;=75,Table1[[#This Row],[Frequency (GHz)]]&lt;110),Table1[[#This Row],[Max Package Thermal Density (W/cm2)]],#N/A)</f>
        <v>#N/A</v>
      </c>
      <c r="AI107" s="1" t="e">
        <f>IF(AND(ISNUMBER(Table1[[#This Row],[Max Package Thermal Density (W/cm2)]]),Table1[[#This Row],[Frequency (GHz)]]&gt;=110,Table1[[#This Row],[Frequency (GHz)]]&lt;170),Table1[[#This Row],[Max Package Thermal Density (W/cm2)]],#N/A)</f>
        <v>#N/A</v>
      </c>
      <c r="AJ107" s="1" t="e">
        <f>IF(AND(ISNUMBER(Table1[[#This Row],[Max Package Thermal Density (W/cm2)]]),Table1[[#This Row],[Frequency (GHz)]]&gt;=170,Table1[[#This Row],[Frequency (GHz)]]&lt;260),Table1[[#This Row],[Max Package Thermal Density (W/cm2)]],#N/A)</f>
        <v>#N/A</v>
      </c>
      <c r="AK107" s="1" t="e">
        <f>IF(AND(ISNUMBER(Table1[[#This Row],[Max Package Thermal Density (W/cm2)]]),Table1[[#This Row],[Frequency (GHz)]]&gt;=260),Table1[[#This Row],[Max Package Thermal Density (W/cm2)]],#N/A)</f>
        <v>#N/A</v>
      </c>
      <c r="AN107" s="1" t="e">
        <f>IF(ISNUMBER(Table1[[#This Row],[Max Chip Thermal Density (W/cm2)]]),Table1[[#This Row],[Max Chip Thermal Density (W/cm2)]],#N/A)</f>
        <v>#N/A</v>
      </c>
      <c r="AO107" s="1" t="e">
        <f>IF(AND(ISNUMBER((Table1[[#This Row],[Max Chip Thermal Density (W/cm2)]])),Table1[[#This Row],[Frequency (GHz)]]&lt;20),Table1[[#This Row],[Max Chip Thermal Density (W/cm2)]],#N/A)</f>
        <v>#N/A</v>
      </c>
      <c r="AP107" s="1" t="e">
        <f>IF(AND(ISNUMBER(Table1[[#This Row],[Max Chip Thermal Density (W/cm2)]]),Table1[[#This Row],[Frequency (GHz)]]&gt;=20,Table1[[#This Row],[Frequency (GHz)]]&lt;50),Table1[[#This Row],[Max Chip Thermal Density (W/cm2)]],#N/A)</f>
        <v>#N/A</v>
      </c>
      <c r="AQ107" s="1" t="e">
        <f>IF(AND(ISNUMBER(Table1[[#This Row],[Max Chip Thermal Density (W/cm2)]]),Table1[[#This Row],[Frequency (GHz)]]&gt;=50,Table1[[#This Row],[Frequency (GHz)]]&lt;75),Table1[[#This Row],[Max Chip Thermal Density (W/cm2)]],#N/A)</f>
        <v>#N/A</v>
      </c>
      <c r="AR107" s="1" t="e">
        <f>IF(AND(ISNUMBER(Table1[[#This Row],[Max Chip Thermal Density (W/cm2)]]),Table1[[#This Row],[Frequency (GHz)]]&gt;=75,Table1[[#This Row],[Frequency (GHz)]]&lt;110),Table1[[#This Row],[Max Chip Thermal Density (W/cm2)]],#N/A)</f>
        <v>#N/A</v>
      </c>
      <c r="AS107" s="1" t="e">
        <f>IF(AND(ISNUMBER(Table1[[#This Row],[Max Chip Thermal Density (W/cm2)]]),Table1[[#This Row],[Frequency (GHz)]]&gt;=110,Table1[[#This Row],[Frequency (GHz)]]&lt;170),Table1[[#This Row],[Max Chip Thermal Density (W/cm2)]],#N/A)</f>
        <v>#N/A</v>
      </c>
      <c r="AT107" s="1" t="e">
        <f>IF(AND(ISNUMBER(Table1[[#This Row],[Max Chip Thermal Density (W/cm2)]]),Table1[[#This Row],[Frequency (GHz)]]&gt;=170,Table1[[#This Row],[Frequency (GHz)]]&lt;260),Table1[[#This Row],[Max Chip Thermal Density (W/cm2)]],#N/A)</f>
        <v>#N/A</v>
      </c>
      <c r="AU107" s="1" t="e">
        <f>IF(AND(ISNUMBER(Table1[[#This Row],[Max Chip Thermal Density (W/cm2)]]),Table1[[#This Row],[Frequency (GHz)]]&gt;=260),Table1[[#This Row],[Max Chip Thermal Density (W/cm2)]],#N/A)</f>
        <v>#N/A</v>
      </c>
    </row>
    <row r="108" spans="1:47" x14ac:dyDescent="0.2">
      <c r="A108" s="25">
        <f>IF(ISNUMBER(Table1[[#This Row],[Total Pout/Prad (dBm)]]),Table1[[#This Row],[Total Pout/Prad (dBm)]],#N/A)</f>
        <v>-3.8</v>
      </c>
      <c r="B108" s="1">
        <f>IF(ISNUMBER(Table1[[#This Row],[Total Pout/Prad (dBm)]]),Table1[[#This Row],[Total '# of TX Elements]],#N/A)</f>
        <v>16</v>
      </c>
      <c r="C108" s="1">
        <f>IF(ISNUMBER(Table1[[#This Row],[TX EIRP (dBm)]]),Table1[[#This Row],[TX EIRP (dBm)]],#N/A)</f>
        <v>29.9</v>
      </c>
      <c r="D108" s="1">
        <f>Table1[[#This Row],[TX Pdc (W)]]</f>
        <v>0.41899999999999998</v>
      </c>
      <c r="E108" s="1">
        <f>IF(ISNUMBER(Table1[[#This Row],[Array Aperture Size (cm2)]]),Table1[[#This Row],[Array Aperture Size (cm2)]],IF(Table1[[#This Row],[Antenna on (None, Chip, AiP, PCB)]]="Chip",Table1[[#This Row],[Chip Core Size - X (mm)]]*Table1[[#This Row],[Chip Core Size -Y (mm)]]/100*Table1[[#This Row],['# of IC per Tile]]*Table1[[#This Row],['# of Array Tile]],#N/A))</f>
        <v>5.5999999999999991E-3</v>
      </c>
      <c r="F108" s="1">
        <f t="shared" si="2"/>
        <v>9.9491499634924915E-2</v>
      </c>
      <c r="G108" s="1">
        <f t="shared" si="3"/>
        <v>233.2308403235825</v>
      </c>
      <c r="L108" s="1" t="e">
        <f>IF(Table1[[#This Row],[Frequency (GHz)]]&lt;20,Plot_Data_Power!F108,#N/A)</f>
        <v>#N/A</v>
      </c>
      <c r="M108" s="1" t="e">
        <f>IF(AND(Table1[[#This Row],[Frequency (GHz)]]&gt;=20,Table1[[#This Row],[Frequency (GHz)]]&lt;50),Plot_Data_Power!F108,#N/A)</f>
        <v>#N/A</v>
      </c>
      <c r="N108" s="1" t="e">
        <f>IF(AND(Table1[[#This Row],[Frequency (GHz)]]&gt;=50,Table1[[#This Row],[Frequency (GHz)]]&lt;75),Plot_Data_Power!F108,#N/A)</f>
        <v>#N/A</v>
      </c>
      <c r="O108" s="1" t="e">
        <f>IF(AND(Table1[[#This Row],[Frequency (GHz)]]&gt;=75,Table1[[#This Row],[Frequency (GHz)]]&lt;110),Plot_Data_Power!F108,#N/A)</f>
        <v>#N/A</v>
      </c>
      <c r="P108" s="1" t="e">
        <f>IF(AND(Table1[[#This Row],[Frequency (GHz)]]&gt;=110,Table1[[#This Row],[Frequency (GHz)]]&lt;170),Plot_Data_Power!F108,#N/A)</f>
        <v>#N/A</v>
      </c>
      <c r="Q108" s="1" t="e">
        <f>IF(AND(Table1[[#This Row],[Frequency (GHz)]]&gt;=170,Table1[[#This Row],[Frequency (GHz)]]&lt;260),Plot_Data_Power!F108,#N/A)</f>
        <v>#N/A</v>
      </c>
      <c r="R108" s="1">
        <f>IF(Table1[[#This Row],[Frequency (GHz)]]&gt;=260,Plot_Data_Power!F108,#N/A)</f>
        <v>9.9491499634924915E-2</v>
      </c>
      <c r="U108" s="1" t="e">
        <f>IF(Table1[[#This Row],[Frequency (GHz)]]&lt;20,Plot_Data_Power!G108,#N/A)</f>
        <v>#N/A</v>
      </c>
      <c r="V108" s="1" t="e">
        <f>IF(AND(Table1[[#This Row],[Frequency (GHz)]]&gt;=20,Table1[[#This Row],[Frequency (GHz)]]&lt;50),Plot_Data_Power!G108,#N/A)</f>
        <v>#N/A</v>
      </c>
      <c r="W108" s="1" t="e">
        <f>IF(AND(Table1[[#This Row],[Frequency (GHz)]]&gt;=50,Table1[[#This Row],[Frequency (GHz)]]&lt;75),Plot_Data_Power!G108,#N/A)</f>
        <v>#N/A</v>
      </c>
      <c r="X108" s="1" t="e">
        <f>IF(AND(Table1[[#This Row],[Frequency (GHz)]]&gt;=75,Table1[[#This Row],[Frequency (GHz)]]&lt;110),Plot_Data_Power!G108,#N/A)</f>
        <v>#N/A</v>
      </c>
      <c r="Y108" s="1" t="e">
        <f>IF(AND(Table1[[#This Row],[Frequency (GHz)]]&gt;=110,Table1[[#This Row],[Frequency (GHz)]]&lt;170),Plot_Data_Power!G108,#N/A)</f>
        <v>#N/A</v>
      </c>
      <c r="Z108" s="1" t="e">
        <f>IF(AND(Table1[[#This Row],[Frequency (GHz)]]&gt;=170,Table1[[#This Row],[Frequency (GHz)]]&lt;260),Plot_Data_Power!G108,#N/A)</f>
        <v>#N/A</v>
      </c>
      <c r="AA108" s="1">
        <f>IF(Table1[[#This Row],[Frequency (GHz)]]&gt;=260,Plot_Data_Power!G108,#N/A)</f>
        <v>233.2308403235825</v>
      </c>
      <c r="AD108" s="1" t="e">
        <f>IF(ISNUMBER(Table1[[#This Row],[Max Package Thermal Density (W/cm2)]]),Table1[[#This Row],[Max Package Thermal Density (W/cm2)]],#N/A)</f>
        <v>#N/A</v>
      </c>
      <c r="AE108" s="1" t="e">
        <f>IF(AND(ISNUMBER((Table1[[#This Row],[Max Package Thermal Density (W/cm2)]])),Table1[[#This Row],[Frequency (GHz)]]&lt;20),Table1[[#This Row],[Max Package Thermal Density (W/cm2)]],#N/A)</f>
        <v>#N/A</v>
      </c>
      <c r="AF108" s="1" t="e">
        <f>IF(AND(ISNUMBER(Table1[[#This Row],[Max Package Thermal Density (W/cm2)]]),Table1[[#This Row],[Frequency (GHz)]]&gt;=20,Table1[[#This Row],[Frequency (GHz)]]&lt;50),Table1[[#This Row],[Max Package Thermal Density (W/cm2)]],#N/A)</f>
        <v>#N/A</v>
      </c>
      <c r="AG108" s="1" t="e">
        <f>IF(AND(ISNUMBER(Table1[[#This Row],[Max Package Thermal Density (W/cm2)]]),Table1[[#This Row],[Frequency (GHz)]]&gt;=50,Table1[[#This Row],[Frequency (GHz)]]&lt;75),Table1[[#This Row],[Max Package Thermal Density (W/cm2)]],#N/A)</f>
        <v>#N/A</v>
      </c>
      <c r="AH108" s="1" t="e">
        <f>IF(AND(ISNUMBER(Table1[[#This Row],[Max Package Thermal Density (W/cm2)]]),Table1[[#This Row],[Frequency (GHz)]]&gt;=75,Table1[[#This Row],[Frequency (GHz)]]&lt;110),Table1[[#This Row],[Max Package Thermal Density (W/cm2)]],#N/A)</f>
        <v>#N/A</v>
      </c>
      <c r="AI108" s="1" t="e">
        <f>IF(AND(ISNUMBER(Table1[[#This Row],[Max Package Thermal Density (W/cm2)]]),Table1[[#This Row],[Frequency (GHz)]]&gt;=110,Table1[[#This Row],[Frequency (GHz)]]&lt;170),Table1[[#This Row],[Max Package Thermal Density (W/cm2)]],#N/A)</f>
        <v>#N/A</v>
      </c>
      <c r="AJ108" s="1" t="e">
        <f>IF(AND(ISNUMBER(Table1[[#This Row],[Max Package Thermal Density (W/cm2)]]),Table1[[#This Row],[Frequency (GHz)]]&gt;=170,Table1[[#This Row],[Frequency (GHz)]]&lt;260),Table1[[#This Row],[Max Package Thermal Density (W/cm2)]],#N/A)</f>
        <v>#N/A</v>
      </c>
      <c r="AK108" s="1" t="e">
        <f>IF(AND(ISNUMBER(Table1[[#This Row],[Max Package Thermal Density (W/cm2)]]),Table1[[#This Row],[Frequency (GHz)]]&gt;=260),Table1[[#This Row],[Max Package Thermal Density (W/cm2)]],#N/A)</f>
        <v>#N/A</v>
      </c>
      <c r="AN108" s="1">
        <f>IF(ISNUMBER(Table1[[#This Row],[Max Chip Thermal Density (W/cm2)]]),Table1[[#This Row],[Max Chip Thermal Density (W/cm2)]],#N/A)</f>
        <v>52.375</v>
      </c>
      <c r="AO108" s="1" t="e">
        <f>IF(AND(ISNUMBER((Table1[[#This Row],[Max Chip Thermal Density (W/cm2)]])),Table1[[#This Row],[Frequency (GHz)]]&lt;20),Table1[[#This Row],[Max Chip Thermal Density (W/cm2)]],#N/A)</f>
        <v>#N/A</v>
      </c>
      <c r="AP108" s="1" t="e">
        <f>IF(AND(ISNUMBER(Table1[[#This Row],[Max Chip Thermal Density (W/cm2)]]),Table1[[#This Row],[Frequency (GHz)]]&gt;=20,Table1[[#This Row],[Frequency (GHz)]]&lt;50),Table1[[#This Row],[Max Chip Thermal Density (W/cm2)]],#N/A)</f>
        <v>#N/A</v>
      </c>
      <c r="AQ108" s="1" t="e">
        <f>IF(AND(ISNUMBER(Table1[[#This Row],[Max Chip Thermal Density (W/cm2)]]),Table1[[#This Row],[Frequency (GHz)]]&gt;=50,Table1[[#This Row],[Frequency (GHz)]]&lt;75),Table1[[#This Row],[Max Chip Thermal Density (W/cm2)]],#N/A)</f>
        <v>#N/A</v>
      </c>
      <c r="AR108" s="1" t="e">
        <f>IF(AND(ISNUMBER(Table1[[#This Row],[Max Chip Thermal Density (W/cm2)]]),Table1[[#This Row],[Frequency (GHz)]]&gt;=75,Table1[[#This Row],[Frequency (GHz)]]&lt;110),Table1[[#This Row],[Max Chip Thermal Density (W/cm2)]],#N/A)</f>
        <v>#N/A</v>
      </c>
      <c r="AS108" s="1" t="e">
        <f>IF(AND(ISNUMBER(Table1[[#This Row],[Max Chip Thermal Density (W/cm2)]]),Table1[[#This Row],[Frequency (GHz)]]&gt;=110,Table1[[#This Row],[Frequency (GHz)]]&lt;170),Table1[[#This Row],[Max Chip Thermal Density (W/cm2)]],#N/A)</f>
        <v>#N/A</v>
      </c>
      <c r="AT108" s="1" t="e">
        <f>IF(AND(ISNUMBER(Table1[[#This Row],[Max Chip Thermal Density (W/cm2)]]),Table1[[#This Row],[Frequency (GHz)]]&gt;=170,Table1[[#This Row],[Frequency (GHz)]]&lt;260),Table1[[#This Row],[Max Chip Thermal Density (W/cm2)]],#N/A)</f>
        <v>#N/A</v>
      </c>
      <c r="AU108" s="1">
        <f>IF(AND(ISNUMBER(Table1[[#This Row],[Max Chip Thermal Density (W/cm2)]]),Table1[[#This Row],[Frequency (GHz)]]&gt;=260),Table1[[#This Row],[Max Chip Thermal Density (W/cm2)]],#N/A)</f>
        <v>52.375</v>
      </c>
    </row>
    <row r="109" spans="1:47" x14ac:dyDescent="0.2">
      <c r="A109" s="25">
        <f>IF(ISNUMBER(Table1[[#This Row],[Total Pout/Prad (dBm)]]),Table1[[#This Row],[Total Pout/Prad (dBm)]],#N/A)</f>
        <v>-3</v>
      </c>
      <c r="B109" s="1">
        <f>IF(ISNUMBER(Table1[[#This Row],[Total Pout/Prad (dBm)]]),Table1[[#This Row],[Total '# of TX Elements]],#N/A)</f>
        <v>16</v>
      </c>
      <c r="C109" s="1">
        <f>IF(ISNUMBER(Table1[[#This Row],[TX EIRP (dBm)]]),Table1[[#This Row],[TX EIRP (dBm)]],#N/A)</f>
        <v>14</v>
      </c>
      <c r="D109" s="1">
        <f>Table1[[#This Row],[TX Pdc (W)]]</f>
        <v>1.45</v>
      </c>
      <c r="E109" s="1">
        <f>IF(ISNUMBER(Table1[[#This Row],[Array Aperture Size (cm2)]]),Table1[[#This Row],[Array Aperture Size (cm2)]],IF(Table1[[#This Row],[Antenna on (None, Chip, AiP, PCB)]]="Chip",Table1[[#This Row],[Chip Core Size - X (mm)]]*Table1[[#This Row],[Chip Core Size -Y (mm)]]/100*Table1[[#This Row],['# of IC per Tile]]*Table1[[#This Row],['# of Array Tile]],#N/A))</f>
        <v>2.2349999999999998E-2</v>
      </c>
      <c r="F109" s="1">
        <f t="shared" si="2"/>
        <v>3.4564636801880842E-2</v>
      </c>
      <c r="G109" s="1">
        <f t="shared" si="3"/>
        <v>1.7323354700066067</v>
      </c>
      <c r="L109" s="1" t="e">
        <f>IF(Table1[[#This Row],[Frequency (GHz)]]&lt;20,Plot_Data_Power!F109,#N/A)</f>
        <v>#N/A</v>
      </c>
      <c r="M109" s="1" t="e">
        <f>IF(AND(Table1[[#This Row],[Frequency (GHz)]]&gt;=20,Table1[[#This Row],[Frequency (GHz)]]&lt;50),Plot_Data_Power!F109,#N/A)</f>
        <v>#N/A</v>
      </c>
      <c r="N109" s="1" t="e">
        <f>IF(AND(Table1[[#This Row],[Frequency (GHz)]]&gt;=50,Table1[[#This Row],[Frequency (GHz)]]&lt;75),Plot_Data_Power!F109,#N/A)</f>
        <v>#N/A</v>
      </c>
      <c r="O109" s="1" t="e">
        <f>IF(AND(Table1[[#This Row],[Frequency (GHz)]]&gt;=75,Table1[[#This Row],[Frequency (GHz)]]&lt;110),Plot_Data_Power!F109,#N/A)</f>
        <v>#N/A</v>
      </c>
      <c r="P109" s="1" t="e">
        <f>IF(AND(Table1[[#This Row],[Frequency (GHz)]]&gt;=110,Table1[[#This Row],[Frequency (GHz)]]&lt;170),Plot_Data_Power!F109,#N/A)</f>
        <v>#N/A</v>
      </c>
      <c r="Q109" s="1" t="e">
        <f>IF(AND(Table1[[#This Row],[Frequency (GHz)]]&gt;=170,Table1[[#This Row],[Frequency (GHz)]]&lt;260),Plot_Data_Power!F109,#N/A)</f>
        <v>#N/A</v>
      </c>
      <c r="R109" s="1">
        <f>IF(Table1[[#This Row],[Frequency (GHz)]]&gt;=260,Plot_Data_Power!F109,#N/A)</f>
        <v>3.4564636801880842E-2</v>
      </c>
      <c r="U109" s="1" t="e">
        <f>IF(Table1[[#This Row],[Frequency (GHz)]]&lt;20,Plot_Data_Power!G109,#N/A)</f>
        <v>#N/A</v>
      </c>
      <c r="V109" s="1" t="e">
        <f>IF(AND(Table1[[#This Row],[Frequency (GHz)]]&gt;=20,Table1[[#This Row],[Frequency (GHz)]]&lt;50),Plot_Data_Power!G109,#N/A)</f>
        <v>#N/A</v>
      </c>
      <c r="W109" s="1" t="e">
        <f>IF(AND(Table1[[#This Row],[Frequency (GHz)]]&gt;=50,Table1[[#This Row],[Frequency (GHz)]]&lt;75),Plot_Data_Power!G109,#N/A)</f>
        <v>#N/A</v>
      </c>
      <c r="X109" s="1" t="e">
        <f>IF(AND(Table1[[#This Row],[Frequency (GHz)]]&gt;=75,Table1[[#This Row],[Frequency (GHz)]]&lt;110),Plot_Data_Power!G109,#N/A)</f>
        <v>#N/A</v>
      </c>
      <c r="Y109" s="1" t="e">
        <f>IF(AND(Table1[[#This Row],[Frequency (GHz)]]&gt;=110,Table1[[#This Row],[Frequency (GHz)]]&lt;170),Plot_Data_Power!G109,#N/A)</f>
        <v>#N/A</v>
      </c>
      <c r="Z109" s="1" t="e">
        <f>IF(AND(Table1[[#This Row],[Frequency (GHz)]]&gt;=170,Table1[[#This Row],[Frequency (GHz)]]&lt;260),Plot_Data_Power!G109,#N/A)</f>
        <v>#N/A</v>
      </c>
      <c r="AA109" s="1">
        <f>IF(Table1[[#This Row],[Frequency (GHz)]]&gt;=260,Plot_Data_Power!G109,#N/A)</f>
        <v>1.7323354700066067</v>
      </c>
      <c r="AD109" s="1" t="e">
        <f>IF(ISNUMBER(Table1[[#This Row],[Max Package Thermal Density (W/cm2)]]),Table1[[#This Row],[Max Package Thermal Density (W/cm2)]],#N/A)</f>
        <v>#N/A</v>
      </c>
      <c r="AE109" s="1" t="e">
        <f>IF(AND(ISNUMBER((Table1[[#This Row],[Max Package Thermal Density (W/cm2)]])),Table1[[#This Row],[Frequency (GHz)]]&lt;20),Table1[[#This Row],[Max Package Thermal Density (W/cm2)]],#N/A)</f>
        <v>#N/A</v>
      </c>
      <c r="AF109" s="1" t="e">
        <f>IF(AND(ISNUMBER(Table1[[#This Row],[Max Package Thermal Density (W/cm2)]]),Table1[[#This Row],[Frequency (GHz)]]&gt;=20,Table1[[#This Row],[Frequency (GHz)]]&lt;50),Table1[[#This Row],[Max Package Thermal Density (W/cm2)]],#N/A)</f>
        <v>#N/A</v>
      </c>
      <c r="AG109" s="1" t="e">
        <f>IF(AND(ISNUMBER(Table1[[#This Row],[Max Package Thermal Density (W/cm2)]]),Table1[[#This Row],[Frequency (GHz)]]&gt;=50,Table1[[#This Row],[Frequency (GHz)]]&lt;75),Table1[[#This Row],[Max Package Thermal Density (W/cm2)]],#N/A)</f>
        <v>#N/A</v>
      </c>
      <c r="AH109" s="1" t="e">
        <f>IF(AND(ISNUMBER(Table1[[#This Row],[Max Package Thermal Density (W/cm2)]]),Table1[[#This Row],[Frequency (GHz)]]&gt;=75,Table1[[#This Row],[Frequency (GHz)]]&lt;110),Table1[[#This Row],[Max Package Thermal Density (W/cm2)]],#N/A)</f>
        <v>#N/A</v>
      </c>
      <c r="AI109" s="1" t="e">
        <f>IF(AND(ISNUMBER(Table1[[#This Row],[Max Package Thermal Density (W/cm2)]]),Table1[[#This Row],[Frequency (GHz)]]&gt;=110,Table1[[#This Row],[Frequency (GHz)]]&lt;170),Table1[[#This Row],[Max Package Thermal Density (W/cm2)]],#N/A)</f>
        <v>#N/A</v>
      </c>
      <c r="AJ109" s="1" t="e">
        <f>IF(AND(ISNUMBER(Table1[[#This Row],[Max Package Thermal Density (W/cm2)]]),Table1[[#This Row],[Frequency (GHz)]]&gt;=170,Table1[[#This Row],[Frequency (GHz)]]&lt;260),Table1[[#This Row],[Max Package Thermal Density (W/cm2)]],#N/A)</f>
        <v>#N/A</v>
      </c>
      <c r="AK109" s="1" t="e">
        <f>IF(AND(ISNUMBER(Table1[[#This Row],[Max Package Thermal Density (W/cm2)]]),Table1[[#This Row],[Frequency (GHz)]]&gt;=260),Table1[[#This Row],[Max Package Thermal Density (W/cm2)]],#N/A)</f>
        <v>#N/A</v>
      </c>
      <c r="AN109" s="1">
        <f>IF(ISNUMBER(Table1[[#This Row],[Max Chip Thermal Density (W/cm2)]]),Table1[[#This Row],[Max Chip Thermal Density (W/cm2)]],#N/A)</f>
        <v>35.024154589371982</v>
      </c>
      <c r="AO109" s="1" t="e">
        <f>IF(AND(ISNUMBER((Table1[[#This Row],[Max Chip Thermal Density (W/cm2)]])),Table1[[#This Row],[Frequency (GHz)]]&lt;20),Table1[[#This Row],[Max Chip Thermal Density (W/cm2)]],#N/A)</f>
        <v>#N/A</v>
      </c>
      <c r="AP109" s="1" t="e">
        <f>IF(AND(ISNUMBER(Table1[[#This Row],[Max Chip Thermal Density (W/cm2)]]),Table1[[#This Row],[Frequency (GHz)]]&gt;=20,Table1[[#This Row],[Frequency (GHz)]]&lt;50),Table1[[#This Row],[Max Chip Thermal Density (W/cm2)]],#N/A)</f>
        <v>#N/A</v>
      </c>
      <c r="AQ109" s="1" t="e">
        <f>IF(AND(ISNUMBER(Table1[[#This Row],[Max Chip Thermal Density (W/cm2)]]),Table1[[#This Row],[Frequency (GHz)]]&gt;=50,Table1[[#This Row],[Frequency (GHz)]]&lt;75),Table1[[#This Row],[Max Chip Thermal Density (W/cm2)]],#N/A)</f>
        <v>#N/A</v>
      </c>
      <c r="AR109" s="1" t="e">
        <f>IF(AND(ISNUMBER(Table1[[#This Row],[Max Chip Thermal Density (W/cm2)]]),Table1[[#This Row],[Frequency (GHz)]]&gt;=75,Table1[[#This Row],[Frequency (GHz)]]&lt;110),Table1[[#This Row],[Max Chip Thermal Density (W/cm2)]],#N/A)</f>
        <v>#N/A</v>
      </c>
      <c r="AS109" s="1" t="e">
        <f>IF(AND(ISNUMBER(Table1[[#This Row],[Max Chip Thermal Density (W/cm2)]]),Table1[[#This Row],[Frequency (GHz)]]&gt;=110,Table1[[#This Row],[Frequency (GHz)]]&lt;170),Table1[[#This Row],[Max Chip Thermal Density (W/cm2)]],#N/A)</f>
        <v>#N/A</v>
      </c>
      <c r="AT109" s="1" t="e">
        <f>IF(AND(ISNUMBER(Table1[[#This Row],[Max Chip Thermal Density (W/cm2)]]),Table1[[#This Row],[Frequency (GHz)]]&gt;=170,Table1[[#This Row],[Frequency (GHz)]]&lt;260),Table1[[#This Row],[Max Chip Thermal Density (W/cm2)]],#N/A)</f>
        <v>#N/A</v>
      </c>
      <c r="AU109" s="1">
        <f>IF(AND(ISNUMBER(Table1[[#This Row],[Max Chip Thermal Density (W/cm2)]]),Table1[[#This Row],[Frequency (GHz)]]&gt;=260),Table1[[#This Row],[Max Chip Thermal Density (W/cm2)]],#N/A)</f>
        <v>35.024154589371982</v>
      </c>
    </row>
    <row r="110" spans="1:47" x14ac:dyDescent="0.2">
      <c r="A110" s="25">
        <f>IF(ISNUMBER(Table1[[#This Row],[Total Pout/Prad (dBm)]]),Table1[[#This Row],[Total Pout/Prad (dBm)]],#N/A)</f>
        <v>20.020599913279625</v>
      </c>
      <c r="B110" s="1">
        <f>IF(ISNUMBER(Table1[[#This Row],[Total Pout/Prad (dBm)]]),Table1[[#This Row],[Total '# of TX Elements]],#N/A)</f>
        <v>4</v>
      </c>
      <c r="C110" s="1" t="e">
        <f>IF(ISNUMBER(Table1[[#This Row],[TX EIRP (dBm)]]),Table1[[#This Row],[TX EIRP (dBm)]],#N/A)</f>
        <v>#N/A</v>
      </c>
      <c r="D110" s="1">
        <f>Table1[[#This Row],[TX Pdc (W)]]</f>
        <v>1.28</v>
      </c>
      <c r="E110" s="1">
        <f>IF(ISNUMBER(Table1[[#This Row],[Array Aperture Size (cm2)]]),Table1[[#This Row],[Array Aperture Size (cm2)]],IF(Table1[[#This Row],[Antenna on (None, Chip, AiP, PCB)]]="Chip",Table1[[#This Row],[Chip Core Size - X (mm)]]*Table1[[#This Row],[Chip Core Size -Y (mm)]]/100*Table1[[#This Row],['# of IC per Tile]]*Table1[[#This Row],['# of Array Tile]],#N/A))</f>
        <v>0.18489999999999998</v>
      </c>
      <c r="F110" s="1">
        <f t="shared" si="2"/>
        <v>7.8496450984674393</v>
      </c>
      <c r="G110" s="1" t="e">
        <f t="shared" si="3"/>
        <v>#N/A</v>
      </c>
      <c r="L110" s="1" t="e">
        <f>IF(Table1[[#This Row],[Frequency (GHz)]]&lt;20,Plot_Data_Power!F110,#N/A)</f>
        <v>#N/A</v>
      </c>
      <c r="M110" s="1" t="e">
        <f>IF(AND(Table1[[#This Row],[Frequency (GHz)]]&gt;=20,Table1[[#This Row],[Frequency (GHz)]]&lt;50),Plot_Data_Power!F110,#N/A)</f>
        <v>#N/A</v>
      </c>
      <c r="N110" s="1" t="e">
        <f>IF(AND(Table1[[#This Row],[Frequency (GHz)]]&gt;=50,Table1[[#This Row],[Frequency (GHz)]]&lt;75),Plot_Data_Power!F110,#N/A)</f>
        <v>#N/A</v>
      </c>
      <c r="O110" s="1">
        <f>IF(AND(Table1[[#This Row],[Frequency (GHz)]]&gt;=75,Table1[[#This Row],[Frequency (GHz)]]&lt;110),Plot_Data_Power!F110,#N/A)</f>
        <v>7.8496450984674393</v>
      </c>
      <c r="P110" s="1" t="e">
        <f>IF(AND(Table1[[#This Row],[Frequency (GHz)]]&gt;=110,Table1[[#This Row],[Frequency (GHz)]]&lt;170),Plot_Data_Power!F110,#N/A)</f>
        <v>#N/A</v>
      </c>
      <c r="Q110" s="1" t="e">
        <f>IF(AND(Table1[[#This Row],[Frequency (GHz)]]&gt;=170,Table1[[#This Row],[Frequency (GHz)]]&lt;260),Plot_Data_Power!F110,#N/A)</f>
        <v>#N/A</v>
      </c>
      <c r="R110" s="1" t="e">
        <f>IF(Table1[[#This Row],[Frequency (GHz)]]&gt;=260,Plot_Data_Power!F110,#N/A)</f>
        <v>#N/A</v>
      </c>
      <c r="U110" s="1" t="e">
        <f>IF(Table1[[#This Row],[Frequency (GHz)]]&lt;20,Plot_Data_Power!G110,#N/A)</f>
        <v>#N/A</v>
      </c>
      <c r="V110" s="1" t="e">
        <f>IF(AND(Table1[[#This Row],[Frequency (GHz)]]&gt;=20,Table1[[#This Row],[Frequency (GHz)]]&lt;50),Plot_Data_Power!G110,#N/A)</f>
        <v>#N/A</v>
      </c>
      <c r="W110" s="1" t="e">
        <f>IF(AND(Table1[[#This Row],[Frequency (GHz)]]&gt;=50,Table1[[#This Row],[Frequency (GHz)]]&lt;75),Plot_Data_Power!G110,#N/A)</f>
        <v>#N/A</v>
      </c>
      <c r="X110" s="1" t="e">
        <f>IF(AND(Table1[[#This Row],[Frequency (GHz)]]&gt;=75,Table1[[#This Row],[Frequency (GHz)]]&lt;110),Plot_Data_Power!G110,#N/A)</f>
        <v>#N/A</v>
      </c>
      <c r="Y110" s="1" t="e">
        <f>IF(AND(Table1[[#This Row],[Frequency (GHz)]]&gt;=110,Table1[[#This Row],[Frequency (GHz)]]&lt;170),Plot_Data_Power!G110,#N/A)</f>
        <v>#N/A</v>
      </c>
      <c r="Z110" s="1" t="e">
        <f>IF(AND(Table1[[#This Row],[Frequency (GHz)]]&gt;=170,Table1[[#This Row],[Frequency (GHz)]]&lt;260),Plot_Data_Power!G110,#N/A)</f>
        <v>#N/A</v>
      </c>
      <c r="AA110" s="1" t="e">
        <f>IF(Table1[[#This Row],[Frequency (GHz)]]&gt;=260,Plot_Data_Power!G110,#N/A)</f>
        <v>#N/A</v>
      </c>
      <c r="AD110" s="1">
        <f>IF(ISNUMBER(Table1[[#This Row],[Max Package Thermal Density (W/cm2)]]),Table1[[#This Row],[Max Package Thermal Density (W/cm2)]],#N/A)</f>
        <v>6.9226608977825856</v>
      </c>
      <c r="AE110" s="1" t="e">
        <f>IF(AND(ISNUMBER((Table1[[#This Row],[Max Package Thermal Density (W/cm2)]])),Table1[[#This Row],[Frequency (GHz)]]&lt;20),Table1[[#This Row],[Max Package Thermal Density (W/cm2)]],#N/A)</f>
        <v>#N/A</v>
      </c>
      <c r="AF110" s="1" t="e">
        <f>IF(AND(ISNUMBER(Table1[[#This Row],[Max Package Thermal Density (W/cm2)]]),Table1[[#This Row],[Frequency (GHz)]]&gt;=20,Table1[[#This Row],[Frequency (GHz)]]&lt;50),Table1[[#This Row],[Max Package Thermal Density (W/cm2)]],#N/A)</f>
        <v>#N/A</v>
      </c>
      <c r="AG110" s="1" t="e">
        <f>IF(AND(ISNUMBER(Table1[[#This Row],[Max Package Thermal Density (W/cm2)]]),Table1[[#This Row],[Frequency (GHz)]]&gt;=50,Table1[[#This Row],[Frequency (GHz)]]&lt;75),Table1[[#This Row],[Max Package Thermal Density (W/cm2)]],#N/A)</f>
        <v>#N/A</v>
      </c>
      <c r="AH110" s="1">
        <f>IF(AND(ISNUMBER(Table1[[#This Row],[Max Package Thermal Density (W/cm2)]]),Table1[[#This Row],[Frequency (GHz)]]&gt;=75,Table1[[#This Row],[Frequency (GHz)]]&lt;110),Table1[[#This Row],[Max Package Thermal Density (W/cm2)]],#N/A)</f>
        <v>6.9226608977825856</v>
      </c>
      <c r="AI110" s="1" t="e">
        <f>IF(AND(ISNUMBER(Table1[[#This Row],[Max Package Thermal Density (W/cm2)]]),Table1[[#This Row],[Frequency (GHz)]]&gt;=110,Table1[[#This Row],[Frequency (GHz)]]&lt;170),Table1[[#This Row],[Max Package Thermal Density (W/cm2)]],#N/A)</f>
        <v>#N/A</v>
      </c>
      <c r="AJ110" s="1" t="e">
        <f>IF(AND(ISNUMBER(Table1[[#This Row],[Max Package Thermal Density (W/cm2)]]),Table1[[#This Row],[Frequency (GHz)]]&gt;=170,Table1[[#This Row],[Frequency (GHz)]]&lt;260),Table1[[#This Row],[Max Package Thermal Density (W/cm2)]],#N/A)</f>
        <v>#N/A</v>
      </c>
      <c r="AK110" s="1" t="e">
        <f>IF(AND(ISNUMBER(Table1[[#This Row],[Max Package Thermal Density (W/cm2)]]),Table1[[#This Row],[Frequency (GHz)]]&gt;=260),Table1[[#This Row],[Max Package Thermal Density (W/cm2)]],#N/A)</f>
        <v>#N/A</v>
      </c>
      <c r="AN110" s="1">
        <f>IF(ISNUMBER(Table1[[#This Row],[Max Chip Thermal Density (W/cm2)]]),Table1[[#This Row],[Max Chip Thermal Density (W/cm2)]],#N/A)</f>
        <v>32</v>
      </c>
      <c r="AO110" s="1" t="e">
        <f>IF(AND(ISNUMBER((Table1[[#This Row],[Max Chip Thermal Density (W/cm2)]])),Table1[[#This Row],[Frequency (GHz)]]&lt;20),Table1[[#This Row],[Max Chip Thermal Density (W/cm2)]],#N/A)</f>
        <v>#N/A</v>
      </c>
      <c r="AP110" s="1" t="e">
        <f>IF(AND(ISNUMBER(Table1[[#This Row],[Max Chip Thermal Density (W/cm2)]]),Table1[[#This Row],[Frequency (GHz)]]&gt;=20,Table1[[#This Row],[Frequency (GHz)]]&lt;50),Table1[[#This Row],[Max Chip Thermal Density (W/cm2)]],#N/A)</f>
        <v>#N/A</v>
      </c>
      <c r="AQ110" s="1" t="e">
        <f>IF(AND(ISNUMBER(Table1[[#This Row],[Max Chip Thermal Density (W/cm2)]]),Table1[[#This Row],[Frequency (GHz)]]&gt;=50,Table1[[#This Row],[Frequency (GHz)]]&lt;75),Table1[[#This Row],[Max Chip Thermal Density (W/cm2)]],#N/A)</f>
        <v>#N/A</v>
      </c>
      <c r="AR110" s="1">
        <f>IF(AND(ISNUMBER(Table1[[#This Row],[Max Chip Thermal Density (W/cm2)]]),Table1[[#This Row],[Frequency (GHz)]]&gt;=75,Table1[[#This Row],[Frequency (GHz)]]&lt;110),Table1[[#This Row],[Max Chip Thermal Density (W/cm2)]],#N/A)</f>
        <v>32</v>
      </c>
      <c r="AS110" s="1" t="e">
        <f>IF(AND(ISNUMBER(Table1[[#This Row],[Max Chip Thermal Density (W/cm2)]]),Table1[[#This Row],[Frequency (GHz)]]&gt;=110,Table1[[#This Row],[Frequency (GHz)]]&lt;170),Table1[[#This Row],[Max Chip Thermal Density (W/cm2)]],#N/A)</f>
        <v>#N/A</v>
      </c>
      <c r="AT110" s="1" t="e">
        <f>IF(AND(ISNUMBER(Table1[[#This Row],[Max Chip Thermal Density (W/cm2)]]),Table1[[#This Row],[Frequency (GHz)]]&gt;=170,Table1[[#This Row],[Frequency (GHz)]]&lt;260),Table1[[#This Row],[Max Chip Thermal Density (W/cm2)]],#N/A)</f>
        <v>#N/A</v>
      </c>
      <c r="AU110" s="1" t="e">
        <f>IF(AND(ISNUMBER(Table1[[#This Row],[Max Chip Thermal Density (W/cm2)]]),Table1[[#This Row],[Frequency (GHz)]]&gt;=260),Table1[[#This Row],[Max Chip Thermal Density (W/cm2)]],#N/A)</f>
        <v>#N/A</v>
      </c>
    </row>
    <row r="111" spans="1:47" x14ac:dyDescent="0.2">
      <c r="A111" s="25" t="e">
        <f>IF(ISNUMBER(Table1[[#This Row],[Total Pout/Prad (dBm)]]),Table1[[#This Row],[Total Pout/Prad (dBm)]],#N/A)</f>
        <v>#N/A</v>
      </c>
      <c r="B111" s="1" t="e">
        <f>IF(ISNUMBER(Table1[[#This Row],[Total Pout/Prad (dBm)]]),Table1[[#This Row],[Total '# of TX Elements]],#N/A)</f>
        <v>#N/A</v>
      </c>
      <c r="C111" s="1" t="e">
        <f>IF(ISNUMBER(Table1[[#This Row],[TX EIRP (dBm)]]),Table1[[#This Row],[TX EIRP (dBm)]],#N/A)</f>
        <v>#N/A</v>
      </c>
      <c r="D111" s="1" t="str">
        <f>Table1[[#This Row],[TX Pdc (W)]]</f>
        <v>N/A</v>
      </c>
      <c r="E111" s="1">
        <f>IF(ISNUMBER(Table1[[#This Row],[Array Aperture Size (cm2)]]),Table1[[#This Row],[Array Aperture Size (cm2)]],IF(Table1[[#This Row],[Antenna on (None, Chip, AiP, PCB)]]="Chip",Table1[[#This Row],[Chip Core Size - X (mm)]]*Table1[[#This Row],[Chip Core Size -Y (mm)]]/100*Table1[[#This Row],['# of IC per Tile]]*Table1[[#This Row],['# of Array Tile]],#N/A))</f>
        <v>0.18489999999999998</v>
      </c>
      <c r="F111" s="1" t="e">
        <f t="shared" si="2"/>
        <v>#N/A</v>
      </c>
      <c r="G111" s="1" t="e">
        <f t="shared" si="3"/>
        <v>#N/A</v>
      </c>
      <c r="L111" s="1" t="e">
        <f>IF(Table1[[#This Row],[Frequency (GHz)]]&lt;20,Plot_Data_Power!F111,#N/A)</f>
        <v>#N/A</v>
      </c>
      <c r="M111" s="1" t="e">
        <f>IF(AND(Table1[[#This Row],[Frequency (GHz)]]&gt;=20,Table1[[#This Row],[Frequency (GHz)]]&lt;50),Plot_Data_Power!F111,#N/A)</f>
        <v>#N/A</v>
      </c>
      <c r="N111" s="1" t="e">
        <f>IF(AND(Table1[[#This Row],[Frequency (GHz)]]&gt;=50,Table1[[#This Row],[Frequency (GHz)]]&lt;75),Plot_Data_Power!F111,#N/A)</f>
        <v>#N/A</v>
      </c>
      <c r="O111" s="1" t="e">
        <f>IF(AND(Table1[[#This Row],[Frequency (GHz)]]&gt;=75,Table1[[#This Row],[Frequency (GHz)]]&lt;110),Plot_Data_Power!F111,#N/A)</f>
        <v>#N/A</v>
      </c>
      <c r="P111" s="1" t="e">
        <f>IF(AND(Table1[[#This Row],[Frequency (GHz)]]&gt;=110,Table1[[#This Row],[Frequency (GHz)]]&lt;170),Plot_Data_Power!F111,#N/A)</f>
        <v>#N/A</v>
      </c>
      <c r="Q111" s="1" t="e">
        <f>IF(AND(Table1[[#This Row],[Frequency (GHz)]]&gt;=170,Table1[[#This Row],[Frequency (GHz)]]&lt;260),Plot_Data_Power!F111,#N/A)</f>
        <v>#N/A</v>
      </c>
      <c r="R111" s="1" t="e">
        <f>IF(Table1[[#This Row],[Frequency (GHz)]]&gt;=260,Plot_Data_Power!F111,#N/A)</f>
        <v>#N/A</v>
      </c>
      <c r="U111" s="1" t="e">
        <f>IF(Table1[[#This Row],[Frequency (GHz)]]&lt;20,Plot_Data_Power!G111,#N/A)</f>
        <v>#N/A</v>
      </c>
      <c r="V111" s="1" t="e">
        <f>IF(AND(Table1[[#This Row],[Frequency (GHz)]]&gt;=20,Table1[[#This Row],[Frequency (GHz)]]&lt;50),Plot_Data_Power!G111,#N/A)</f>
        <v>#N/A</v>
      </c>
      <c r="W111" s="1" t="e">
        <f>IF(AND(Table1[[#This Row],[Frequency (GHz)]]&gt;=50,Table1[[#This Row],[Frequency (GHz)]]&lt;75),Plot_Data_Power!G111,#N/A)</f>
        <v>#N/A</v>
      </c>
      <c r="X111" s="1" t="e">
        <f>IF(AND(Table1[[#This Row],[Frequency (GHz)]]&gt;=75,Table1[[#This Row],[Frequency (GHz)]]&lt;110),Plot_Data_Power!G111,#N/A)</f>
        <v>#N/A</v>
      </c>
      <c r="Y111" s="1" t="e">
        <f>IF(AND(Table1[[#This Row],[Frequency (GHz)]]&gt;=110,Table1[[#This Row],[Frequency (GHz)]]&lt;170),Plot_Data_Power!G111,#N/A)</f>
        <v>#N/A</v>
      </c>
      <c r="Z111" s="1" t="e">
        <f>IF(AND(Table1[[#This Row],[Frequency (GHz)]]&gt;=170,Table1[[#This Row],[Frequency (GHz)]]&lt;260),Plot_Data_Power!G111,#N/A)</f>
        <v>#N/A</v>
      </c>
      <c r="AA111" s="1" t="e">
        <f>IF(Table1[[#This Row],[Frequency (GHz)]]&gt;=260,Plot_Data_Power!G111,#N/A)</f>
        <v>#N/A</v>
      </c>
      <c r="AD111" s="1">
        <f>IF(ISNUMBER(Table1[[#This Row],[Max Package Thermal Density (W/cm2)]]),Table1[[#This Row],[Max Package Thermal Density (W/cm2)]],#N/A)</f>
        <v>3.8939967550027044</v>
      </c>
      <c r="AE111" s="1" t="e">
        <f>IF(AND(ISNUMBER((Table1[[#This Row],[Max Package Thermal Density (W/cm2)]])),Table1[[#This Row],[Frequency (GHz)]]&lt;20),Table1[[#This Row],[Max Package Thermal Density (W/cm2)]],#N/A)</f>
        <v>#N/A</v>
      </c>
      <c r="AF111" s="1" t="e">
        <f>IF(AND(ISNUMBER(Table1[[#This Row],[Max Package Thermal Density (W/cm2)]]),Table1[[#This Row],[Frequency (GHz)]]&gt;=20,Table1[[#This Row],[Frequency (GHz)]]&lt;50),Table1[[#This Row],[Max Package Thermal Density (W/cm2)]],#N/A)</f>
        <v>#N/A</v>
      </c>
      <c r="AG111" s="1" t="e">
        <f>IF(AND(ISNUMBER(Table1[[#This Row],[Max Package Thermal Density (W/cm2)]]),Table1[[#This Row],[Frequency (GHz)]]&gt;=50,Table1[[#This Row],[Frequency (GHz)]]&lt;75),Table1[[#This Row],[Max Package Thermal Density (W/cm2)]],#N/A)</f>
        <v>#N/A</v>
      </c>
      <c r="AH111" s="1">
        <f>IF(AND(ISNUMBER(Table1[[#This Row],[Max Package Thermal Density (W/cm2)]]),Table1[[#This Row],[Frequency (GHz)]]&gt;=75,Table1[[#This Row],[Frequency (GHz)]]&lt;110),Table1[[#This Row],[Max Package Thermal Density (W/cm2)]],#N/A)</f>
        <v>3.8939967550027044</v>
      </c>
      <c r="AI111" s="1" t="e">
        <f>IF(AND(ISNUMBER(Table1[[#This Row],[Max Package Thermal Density (W/cm2)]]),Table1[[#This Row],[Frequency (GHz)]]&gt;=110,Table1[[#This Row],[Frequency (GHz)]]&lt;170),Table1[[#This Row],[Max Package Thermal Density (W/cm2)]],#N/A)</f>
        <v>#N/A</v>
      </c>
      <c r="AJ111" s="1" t="e">
        <f>IF(AND(ISNUMBER(Table1[[#This Row],[Max Package Thermal Density (W/cm2)]]),Table1[[#This Row],[Frequency (GHz)]]&gt;=170,Table1[[#This Row],[Frequency (GHz)]]&lt;260),Table1[[#This Row],[Max Package Thermal Density (W/cm2)]],#N/A)</f>
        <v>#N/A</v>
      </c>
      <c r="AK111" s="1" t="e">
        <f>IF(AND(ISNUMBER(Table1[[#This Row],[Max Package Thermal Density (W/cm2)]]),Table1[[#This Row],[Frequency (GHz)]]&gt;=260),Table1[[#This Row],[Max Package Thermal Density (W/cm2)]],#N/A)</f>
        <v>#N/A</v>
      </c>
      <c r="AN111" s="1">
        <f>IF(ISNUMBER(Table1[[#This Row],[Max Chip Thermal Density (W/cm2)]]),Table1[[#This Row],[Max Chip Thermal Density (W/cm2)]],#N/A)</f>
        <v>18</v>
      </c>
      <c r="AO111" s="1" t="e">
        <f>IF(AND(ISNUMBER((Table1[[#This Row],[Max Chip Thermal Density (W/cm2)]])),Table1[[#This Row],[Frequency (GHz)]]&lt;20),Table1[[#This Row],[Max Chip Thermal Density (W/cm2)]],#N/A)</f>
        <v>#N/A</v>
      </c>
      <c r="AP111" s="1" t="e">
        <f>IF(AND(ISNUMBER(Table1[[#This Row],[Max Chip Thermal Density (W/cm2)]]),Table1[[#This Row],[Frequency (GHz)]]&gt;=20,Table1[[#This Row],[Frequency (GHz)]]&lt;50),Table1[[#This Row],[Max Chip Thermal Density (W/cm2)]],#N/A)</f>
        <v>#N/A</v>
      </c>
      <c r="AQ111" s="1" t="e">
        <f>IF(AND(ISNUMBER(Table1[[#This Row],[Max Chip Thermal Density (W/cm2)]]),Table1[[#This Row],[Frequency (GHz)]]&gt;=50,Table1[[#This Row],[Frequency (GHz)]]&lt;75),Table1[[#This Row],[Max Chip Thermal Density (W/cm2)]],#N/A)</f>
        <v>#N/A</v>
      </c>
      <c r="AR111" s="1">
        <f>IF(AND(ISNUMBER(Table1[[#This Row],[Max Chip Thermal Density (W/cm2)]]),Table1[[#This Row],[Frequency (GHz)]]&gt;=75,Table1[[#This Row],[Frequency (GHz)]]&lt;110),Table1[[#This Row],[Max Chip Thermal Density (W/cm2)]],#N/A)</f>
        <v>18</v>
      </c>
      <c r="AS111" s="1" t="e">
        <f>IF(AND(ISNUMBER(Table1[[#This Row],[Max Chip Thermal Density (W/cm2)]]),Table1[[#This Row],[Frequency (GHz)]]&gt;=110,Table1[[#This Row],[Frequency (GHz)]]&lt;170),Table1[[#This Row],[Max Chip Thermal Density (W/cm2)]],#N/A)</f>
        <v>#N/A</v>
      </c>
      <c r="AT111" s="1" t="e">
        <f>IF(AND(ISNUMBER(Table1[[#This Row],[Max Chip Thermal Density (W/cm2)]]),Table1[[#This Row],[Frequency (GHz)]]&gt;=170,Table1[[#This Row],[Frequency (GHz)]]&lt;260),Table1[[#This Row],[Max Chip Thermal Density (W/cm2)]],#N/A)</f>
        <v>#N/A</v>
      </c>
      <c r="AU111" s="1" t="e">
        <f>IF(AND(ISNUMBER(Table1[[#This Row],[Max Chip Thermal Density (W/cm2)]]),Table1[[#This Row],[Frequency (GHz)]]&gt;=260),Table1[[#This Row],[Max Chip Thermal Density (W/cm2)]],#N/A)</f>
        <v>#N/A</v>
      </c>
    </row>
    <row r="112" spans="1:47" x14ac:dyDescent="0.2">
      <c r="A112" s="25">
        <f>IF(ISNUMBER(Table1[[#This Row],[Total Pout/Prad (dBm)]]),Table1[[#This Row],[Total Pout/Prad (dBm)]],#N/A)</f>
        <v>41.082399653118493</v>
      </c>
      <c r="B112" s="1">
        <f>IF(ISNUMBER(Table1[[#This Row],[Total Pout/Prad (dBm)]]),Table1[[#This Row],[Total '# of TX Elements]],#N/A)</f>
        <v>256</v>
      </c>
      <c r="C112" s="1">
        <f>IF(ISNUMBER(Table1[[#This Row],[TX EIRP (dBm)]]),Table1[[#This Row],[TX EIRP (dBm)]],#N/A)</f>
        <v>68.5</v>
      </c>
      <c r="D112" s="1">
        <f>Table1[[#This Row],[TX Pdc (W)]]</f>
        <v>55.04</v>
      </c>
      <c r="E112" s="1">
        <f>IF(ISNUMBER(Table1[[#This Row],[Array Aperture Size (cm2)]]),Table1[[#This Row],[Array Aperture Size (cm2)]],IF(Table1[[#This Row],[Antenna on (None, Chip, AiP, PCB)]]="Chip",Table1[[#This Row],[Chip Core Size - X (mm)]]*Table1[[#This Row],[Chip Core Size -Y (mm)]]/100*Table1[[#This Row],['# of IC per Tile]]*Table1[[#This Row],['# of Array Tile]],#N/A))</f>
        <v>18.0625</v>
      </c>
      <c r="F112" s="1">
        <f t="shared" si="2"/>
        <v>23.311034122198723</v>
      </c>
      <c r="G112" s="1">
        <f t="shared" si="3"/>
        <v>12862.38707093274</v>
      </c>
      <c r="L112" s="1" t="e">
        <f>IF(Table1[[#This Row],[Frequency (GHz)]]&lt;20,Plot_Data_Power!F112,#N/A)</f>
        <v>#N/A</v>
      </c>
      <c r="M112" s="1">
        <f>IF(AND(Table1[[#This Row],[Frequency (GHz)]]&gt;=20,Table1[[#This Row],[Frequency (GHz)]]&lt;50),Plot_Data_Power!F112,#N/A)</f>
        <v>23.311034122198723</v>
      </c>
      <c r="N112" s="1" t="e">
        <f>IF(AND(Table1[[#This Row],[Frequency (GHz)]]&gt;=50,Table1[[#This Row],[Frequency (GHz)]]&lt;75),Plot_Data_Power!F112,#N/A)</f>
        <v>#N/A</v>
      </c>
      <c r="O112" s="1" t="e">
        <f>IF(AND(Table1[[#This Row],[Frequency (GHz)]]&gt;=75,Table1[[#This Row],[Frequency (GHz)]]&lt;110),Plot_Data_Power!F112,#N/A)</f>
        <v>#N/A</v>
      </c>
      <c r="P112" s="1" t="e">
        <f>IF(AND(Table1[[#This Row],[Frequency (GHz)]]&gt;=110,Table1[[#This Row],[Frequency (GHz)]]&lt;170),Plot_Data_Power!F112,#N/A)</f>
        <v>#N/A</v>
      </c>
      <c r="Q112" s="1" t="e">
        <f>IF(AND(Table1[[#This Row],[Frequency (GHz)]]&gt;=170,Table1[[#This Row],[Frequency (GHz)]]&lt;260),Plot_Data_Power!F112,#N/A)</f>
        <v>#N/A</v>
      </c>
      <c r="R112" s="1" t="e">
        <f>IF(Table1[[#This Row],[Frequency (GHz)]]&gt;=260,Plot_Data_Power!F112,#N/A)</f>
        <v>#N/A</v>
      </c>
      <c r="U112" s="1" t="e">
        <f>IF(Table1[[#This Row],[Frequency (GHz)]]&lt;20,Plot_Data_Power!G112,#N/A)</f>
        <v>#N/A</v>
      </c>
      <c r="V112" s="1">
        <f>IF(AND(Table1[[#This Row],[Frequency (GHz)]]&gt;=20,Table1[[#This Row],[Frequency (GHz)]]&lt;50),Plot_Data_Power!G112,#N/A)</f>
        <v>12862.38707093274</v>
      </c>
      <c r="W112" s="1" t="e">
        <f>IF(AND(Table1[[#This Row],[Frequency (GHz)]]&gt;=50,Table1[[#This Row],[Frequency (GHz)]]&lt;75),Plot_Data_Power!G112,#N/A)</f>
        <v>#N/A</v>
      </c>
      <c r="X112" s="1" t="e">
        <f>IF(AND(Table1[[#This Row],[Frequency (GHz)]]&gt;=75,Table1[[#This Row],[Frequency (GHz)]]&lt;110),Plot_Data_Power!G112,#N/A)</f>
        <v>#N/A</v>
      </c>
      <c r="Y112" s="1" t="e">
        <f>IF(AND(Table1[[#This Row],[Frequency (GHz)]]&gt;=110,Table1[[#This Row],[Frequency (GHz)]]&lt;170),Plot_Data_Power!G112,#N/A)</f>
        <v>#N/A</v>
      </c>
      <c r="Z112" s="1" t="e">
        <f>IF(AND(Table1[[#This Row],[Frequency (GHz)]]&gt;=170,Table1[[#This Row],[Frequency (GHz)]]&lt;260),Plot_Data_Power!G112,#N/A)</f>
        <v>#N/A</v>
      </c>
      <c r="AA112" s="1" t="e">
        <f>IF(Table1[[#This Row],[Frequency (GHz)]]&gt;=260,Plot_Data_Power!G112,#N/A)</f>
        <v>#N/A</v>
      </c>
      <c r="AD112" s="1">
        <f>IF(ISNUMBER(Table1[[#This Row],[Max Package Thermal Density (W/cm2)]]),Table1[[#This Row],[Max Package Thermal Density (W/cm2)]],#N/A)</f>
        <v>3.04719723183391</v>
      </c>
      <c r="AE112" s="1" t="e">
        <f>IF(AND(ISNUMBER((Table1[[#This Row],[Max Package Thermal Density (W/cm2)]])),Table1[[#This Row],[Frequency (GHz)]]&lt;20),Table1[[#This Row],[Max Package Thermal Density (W/cm2)]],#N/A)</f>
        <v>#N/A</v>
      </c>
      <c r="AF112" s="1">
        <f>IF(AND(ISNUMBER(Table1[[#This Row],[Max Package Thermal Density (W/cm2)]]),Table1[[#This Row],[Frequency (GHz)]]&gt;=20,Table1[[#This Row],[Frequency (GHz)]]&lt;50),Table1[[#This Row],[Max Package Thermal Density (W/cm2)]],#N/A)</f>
        <v>3.04719723183391</v>
      </c>
      <c r="AG112" s="1" t="e">
        <f>IF(AND(ISNUMBER(Table1[[#This Row],[Max Package Thermal Density (W/cm2)]]),Table1[[#This Row],[Frequency (GHz)]]&gt;=50,Table1[[#This Row],[Frequency (GHz)]]&lt;75),Table1[[#This Row],[Max Package Thermal Density (W/cm2)]],#N/A)</f>
        <v>#N/A</v>
      </c>
      <c r="AH112" s="1" t="e">
        <f>IF(AND(ISNUMBER(Table1[[#This Row],[Max Package Thermal Density (W/cm2)]]),Table1[[#This Row],[Frequency (GHz)]]&gt;=75,Table1[[#This Row],[Frequency (GHz)]]&lt;110),Table1[[#This Row],[Max Package Thermal Density (W/cm2)]],#N/A)</f>
        <v>#N/A</v>
      </c>
      <c r="AI112" s="1" t="e">
        <f>IF(AND(ISNUMBER(Table1[[#This Row],[Max Package Thermal Density (W/cm2)]]),Table1[[#This Row],[Frequency (GHz)]]&gt;=110,Table1[[#This Row],[Frequency (GHz)]]&lt;170),Table1[[#This Row],[Max Package Thermal Density (W/cm2)]],#N/A)</f>
        <v>#N/A</v>
      </c>
      <c r="AJ112" s="1" t="e">
        <f>IF(AND(ISNUMBER(Table1[[#This Row],[Max Package Thermal Density (W/cm2)]]),Table1[[#This Row],[Frequency (GHz)]]&gt;=170,Table1[[#This Row],[Frequency (GHz)]]&lt;260),Table1[[#This Row],[Max Package Thermal Density (W/cm2)]],#N/A)</f>
        <v>#N/A</v>
      </c>
      <c r="AK112" s="1" t="e">
        <f>IF(AND(ISNUMBER(Table1[[#This Row],[Max Package Thermal Density (W/cm2)]]),Table1[[#This Row],[Frequency (GHz)]]&gt;=260),Table1[[#This Row],[Max Package Thermal Density (W/cm2)]],#N/A)</f>
        <v>#N/A</v>
      </c>
      <c r="AN112" s="1">
        <f>IF(ISNUMBER(Table1[[#This Row],[Max Chip Thermal Density (W/cm2)]]),Table1[[#This Row],[Max Chip Thermal Density (W/cm2)]],#N/A)</f>
        <v>4.6536796536796547</v>
      </c>
      <c r="AO112" s="1" t="e">
        <f>IF(AND(ISNUMBER((Table1[[#This Row],[Max Chip Thermal Density (W/cm2)]])),Table1[[#This Row],[Frequency (GHz)]]&lt;20),Table1[[#This Row],[Max Chip Thermal Density (W/cm2)]],#N/A)</f>
        <v>#N/A</v>
      </c>
      <c r="AP112" s="1">
        <f>IF(AND(ISNUMBER(Table1[[#This Row],[Max Chip Thermal Density (W/cm2)]]),Table1[[#This Row],[Frequency (GHz)]]&gt;=20,Table1[[#This Row],[Frequency (GHz)]]&lt;50),Table1[[#This Row],[Max Chip Thermal Density (W/cm2)]],#N/A)</f>
        <v>4.6536796536796547</v>
      </c>
      <c r="AQ112" s="1" t="e">
        <f>IF(AND(ISNUMBER(Table1[[#This Row],[Max Chip Thermal Density (W/cm2)]]),Table1[[#This Row],[Frequency (GHz)]]&gt;=50,Table1[[#This Row],[Frequency (GHz)]]&lt;75),Table1[[#This Row],[Max Chip Thermal Density (W/cm2)]],#N/A)</f>
        <v>#N/A</v>
      </c>
      <c r="AR112" s="1" t="e">
        <f>IF(AND(ISNUMBER(Table1[[#This Row],[Max Chip Thermal Density (W/cm2)]]),Table1[[#This Row],[Frequency (GHz)]]&gt;=75,Table1[[#This Row],[Frequency (GHz)]]&lt;110),Table1[[#This Row],[Max Chip Thermal Density (W/cm2)]],#N/A)</f>
        <v>#N/A</v>
      </c>
      <c r="AS112" s="1" t="e">
        <f>IF(AND(ISNUMBER(Table1[[#This Row],[Max Chip Thermal Density (W/cm2)]]),Table1[[#This Row],[Frequency (GHz)]]&gt;=110,Table1[[#This Row],[Frequency (GHz)]]&lt;170),Table1[[#This Row],[Max Chip Thermal Density (W/cm2)]],#N/A)</f>
        <v>#N/A</v>
      </c>
      <c r="AT112" s="1" t="e">
        <f>IF(AND(ISNUMBER(Table1[[#This Row],[Max Chip Thermal Density (W/cm2)]]),Table1[[#This Row],[Frequency (GHz)]]&gt;=170,Table1[[#This Row],[Frequency (GHz)]]&lt;260),Table1[[#This Row],[Max Chip Thermal Density (W/cm2)]],#N/A)</f>
        <v>#N/A</v>
      </c>
      <c r="AU112" s="1" t="e">
        <f>IF(AND(ISNUMBER(Table1[[#This Row],[Max Chip Thermal Density (W/cm2)]]),Table1[[#This Row],[Frequency (GHz)]]&gt;=260),Table1[[#This Row],[Max Chip Thermal Density (W/cm2)]],#N/A)</f>
        <v>#N/A</v>
      </c>
    </row>
    <row r="113" spans="1:47" x14ac:dyDescent="0.2">
      <c r="A113" s="25">
        <f>IF(ISNUMBER(Table1[[#This Row],[Total Pout/Prad (dBm)]]),Table1[[#This Row],[Total Pout/Prad (dBm)]],#N/A)</f>
        <v>12.041199826559248</v>
      </c>
      <c r="B113" s="1">
        <f>IF(ISNUMBER(Table1[[#This Row],[Total Pout/Prad (dBm)]]),Table1[[#This Row],[Total '# of TX Elements]],#N/A)</f>
        <v>16</v>
      </c>
      <c r="C113" s="1">
        <f>IF(ISNUMBER(Table1[[#This Row],[TX EIRP (dBm)]]),Table1[[#This Row],[TX EIRP (dBm)]],#N/A)</f>
        <v>26</v>
      </c>
      <c r="D113" s="1">
        <f>Table1[[#This Row],[TX Pdc (W)]]</f>
        <v>4.9000000000000004</v>
      </c>
      <c r="E113" s="1">
        <f>IF(ISNUMBER(Table1[[#This Row],[Array Aperture Size (cm2)]]),Table1[[#This Row],[Array Aperture Size (cm2)]],IF(Table1[[#This Row],[Antenna on (None, Chip, AiP, PCB)]]="Chip",Table1[[#This Row],[Chip Core Size - X (mm)]]*Table1[[#This Row],[Chip Core Size -Y (mm)]]/100*Table1[[#This Row],['# of IC per Tile]]*Table1[[#This Row],['# of Array Tile]],#N/A))</f>
        <v>0.17361111111111113</v>
      </c>
      <c r="F113" s="1">
        <f t="shared" si="2"/>
        <v>0.3265306122448981</v>
      </c>
      <c r="G113" s="1">
        <f t="shared" si="3"/>
        <v>8.1246361337448487</v>
      </c>
      <c r="L113" s="1" t="e">
        <f>IF(Table1[[#This Row],[Frequency (GHz)]]&lt;20,Plot_Data_Power!F113,#N/A)</f>
        <v>#N/A</v>
      </c>
      <c r="M113" s="1" t="e">
        <f>IF(AND(Table1[[#This Row],[Frequency (GHz)]]&gt;=20,Table1[[#This Row],[Frequency (GHz)]]&lt;50),Plot_Data_Power!F113,#N/A)</f>
        <v>#N/A</v>
      </c>
      <c r="N113" s="1" t="e">
        <f>IF(AND(Table1[[#This Row],[Frequency (GHz)]]&gt;=50,Table1[[#This Row],[Frequency (GHz)]]&lt;75),Plot_Data_Power!F113,#N/A)</f>
        <v>#N/A</v>
      </c>
      <c r="O113" s="1" t="e">
        <f>IF(AND(Table1[[#This Row],[Frequency (GHz)]]&gt;=75,Table1[[#This Row],[Frequency (GHz)]]&lt;110),Plot_Data_Power!F113,#N/A)</f>
        <v>#N/A</v>
      </c>
      <c r="P113" s="1">
        <f>IF(AND(Table1[[#This Row],[Frequency (GHz)]]&gt;=110,Table1[[#This Row],[Frequency (GHz)]]&lt;170),Plot_Data_Power!F113,#N/A)</f>
        <v>0.3265306122448981</v>
      </c>
      <c r="Q113" s="1" t="e">
        <f>IF(AND(Table1[[#This Row],[Frequency (GHz)]]&gt;=170,Table1[[#This Row],[Frequency (GHz)]]&lt;260),Plot_Data_Power!F113,#N/A)</f>
        <v>#N/A</v>
      </c>
      <c r="R113" s="1" t="e">
        <f>IF(Table1[[#This Row],[Frequency (GHz)]]&gt;=260,Plot_Data_Power!F113,#N/A)</f>
        <v>#N/A</v>
      </c>
      <c r="U113" s="1" t="e">
        <f>IF(Table1[[#This Row],[Frequency (GHz)]]&lt;20,Plot_Data_Power!G113,#N/A)</f>
        <v>#N/A</v>
      </c>
      <c r="V113" s="1" t="e">
        <f>IF(AND(Table1[[#This Row],[Frequency (GHz)]]&gt;=20,Table1[[#This Row],[Frequency (GHz)]]&lt;50),Plot_Data_Power!G113,#N/A)</f>
        <v>#N/A</v>
      </c>
      <c r="W113" s="1" t="e">
        <f>IF(AND(Table1[[#This Row],[Frequency (GHz)]]&gt;=50,Table1[[#This Row],[Frequency (GHz)]]&lt;75),Plot_Data_Power!G113,#N/A)</f>
        <v>#N/A</v>
      </c>
      <c r="X113" s="1" t="e">
        <f>IF(AND(Table1[[#This Row],[Frequency (GHz)]]&gt;=75,Table1[[#This Row],[Frequency (GHz)]]&lt;110),Plot_Data_Power!G113,#N/A)</f>
        <v>#N/A</v>
      </c>
      <c r="Y113" s="1">
        <f>IF(AND(Table1[[#This Row],[Frequency (GHz)]]&gt;=110,Table1[[#This Row],[Frequency (GHz)]]&lt;170),Plot_Data_Power!G113,#N/A)</f>
        <v>8.1246361337448487</v>
      </c>
      <c r="Z113" s="1" t="e">
        <f>IF(AND(Table1[[#This Row],[Frequency (GHz)]]&gt;=170,Table1[[#This Row],[Frequency (GHz)]]&lt;260),Plot_Data_Power!G113,#N/A)</f>
        <v>#N/A</v>
      </c>
      <c r="AA113" s="1" t="e">
        <f>IF(Table1[[#This Row],[Frequency (GHz)]]&gt;=260,Plot_Data_Power!G113,#N/A)</f>
        <v>#N/A</v>
      </c>
      <c r="AD113" s="1">
        <f>IF(ISNUMBER(Table1[[#This Row],[Max Package Thermal Density (W/cm2)]]),Table1[[#This Row],[Max Package Thermal Density (W/cm2)]],#N/A)</f>
        <v>28.224</v>
      </c>
      <c r="AE113" s="1" t="e">
        <f>IF(AND(ISNUMBER((Table1[[#This Row],[Max Package Thermal Density (W/cm2)]])),Table1[[#This Row],[Frequency (GHz)]]&lt;20),Table1[[#This Row],[Max Package Thermal Density (W/cm2)]],#N/A)</f>
        <v>#N/A</v>
      </c>
      <c r="AF113" s="1" t="e">
        <f>IF(AND(ISNUMBER(Table1[[#This Row],[Max Package Thermal Density (W/cm2)]]),Table1[[#This Row],[Frequency (GHz)]]&gt;=20,Table1[[#This Row],[Frequency (GHz)]]&lt;50),Table1[[#This Row],[Max Package Thermal Density (W/cm2)]],#N/A)</f>
        <v>#N/A</v>
      </c>
      <c r="AG113" s="1" t="e">
        <f>IF(AND(ISNUMBER(Table1[[#This Row],[Max Package Thermal Density (W/cm2)]]),Table1[[#This Row],[Frequency (GHz)]]&gt;=50,Table1[[#This Row],[Frequency (GHz)]]&lt;75),Table1[[#This Row],[Max Package Thermal Density (W/cm2)]],#N/A)</f>
        <v>#N/A</v>
      </c>
      <c r="AH113" s="1" t="e">
        <f>IF(AND(ISNUMBER(Table1[[#This Row],[Max Package Thermal Density (W/cm2)]]),Table1[[#This Row],[Frequency (GHz)]]&gt;=75,Table1[[#This Row],[Frequency (GHz)]]&lt;110),Table1[[#This Row],[Max Package Thermal Density (W/cm2)]],#N/A)</f>
        <v>#N/A</v>
      </c>
      <c r="AI113" s="1">
        <f>IF(AND(ISNUMBER(Table1[[#This Row],[Max Package Thermal Density (W/cm2)]]),Table1[[#This Row],[Frequency (GHz)]]&gt;=110,Table1[[#This Row],[Frequency (GHz)]]&lt;170),Table1[[#This Row],[Max Package Thermal Density (W/cm2)]],#N/A)</f>
        <v>28.224</v>
      </c>
      <c r="AJ113" s="1" t="e">
        <f>IF(AND(ISNUMBER(Table1[[#This Row],[Max Package Thermal Density (W/cm2)]]),Table1[[#This Row],[Frequency (GHz)]]&gt;=170,Table1[[#This Row],[Frequency (GHz)]]&lt;260),Table1[[#This Row],[Max Package Thermal Density (W/cm2)]],#N/A)</f>
        <v>#N/A</v>
      </c>
      <c r="AK113" s="1" t="e">
        <f>IF(AND(ISNUMBER(Table1[[#This Row],[Max Package Thermal Density (W/cm2)]]),Table1[[#This Row],[Frequency (GHz)]]&gt;=260),Table1[[#This Row],[Max Package Thermal Density (W/cm2)]],#N/A)</f>
        <v>#N/A</v>
      </c>
      <c r="AN113" s="1">
        <f>IF(ISNUMBER(Table1[[#This Row],[Max Chip Thermal Density (W/cm2)]]),Table1[[#This Row],[Max Chip Thermal Density (W/cm2)]],#N/A)</f>
        <v>33.616212619114584</v>
      </c>
      <c r="AO113" s="1" t="e">
        <f>IF(AND(ISNUMBER((Table1[[#This Row],[Max Chip Thermal Density (W/cm2)]])),Table1[[#This Row],[Frequency (GHz)]]&lt;20),Table1[[#This Row],[Max Chip Thermal Density (W/cm2)]],#N/A)</f>
        <v>#N/A</v>
      </c>
      <c r="AP113" s="1" t="e">
        <f>IF(AND(ISNUMBER(Table1[[#This Row],[Max Chip Thermal Density (W/cm2)]]),Table1[[#This Row],[Frequency (GHz)]]&gt;=20,Table1[[#This Row],[Frequency (GHz)]]&lt;50),Table1[[#This Row],[Max Chip Thermal Density (W/cm2)]],#N/A)</f>
        <v>#N/A</v>
      </c>
      <c r="AQ113" s="1" t="e">
        <f>IF(AND(ISNUMBER(Table1[[#This Row],[Max Chip Thermal Density (W/cm2)]]),Table1[[#This Row],[Frequency (GHz)]]&gt;=50,Table1[[#This Row],[Frequency (GHz)]]&lt;75),Table1[[#This Row],[Max Chip Thermal Density (W/cm2)]],#N/A)</f>
        <v>#N/A</v>
      </c>
      <c r="AR113" s="1" t="e">
        <f>IF(AND(ISNUMBER(Table1[[#This Row],[Max Chip Thermal Density (W/cm2)]]),Table1[[#This Row],[Frequency (GHz)]]&gt;=75,Table1[[#This Row],[Frequency (GHz)]]&lt;110),Table1[[#This Row],[Max Chip Thermal Density (W/cm2)]],#N/A)</f>
        <v>#N/A</v>
      </c>
      <c r="AS113" s="1">
        <f>IF(AND(ISNUMBER(Table1[[#This Row],[Max Chip Thermal Density (W/cm2)]]),Table1[[#This Row],[Frequency (GHz)]]&gt;=110,Table1[[#This Row],[Frequency (GHz)]]&lt;170),Table1[[#This Row],[Max Chip Thermal Density (W/cm2)]],#N/A)</f>
        <v>33.616212619114584</v>
      </c>
      <c r="AT113" s="1" t="e">
        <f>IF(AND(ISNUMBER(Table1[[#This Row],[Max Chip Thermal Density (W/cm2)]]),Table1[[#This Row],[Frequency (GHz)]]&gt;=170,Table1[[#This Row],[Frequency (GHz)]]&lt;260),Table1[[#This Row],[Max Chip Thermal Density (W/cm2)]],#N/A)</f>
        <v>#N/A</v>
      </c>
      <c r="AU113" s="1" t="e">
        <f>IF(AND(ISNUMBER(Table1[[#This Row],[Max Chip Thermal Density (W/cm2)]]),Table1[[#This Row],[Frequency (GHz)]]&gt;=260),Table1[[#This Row],[Max Chip Thermal Density (W/cm2)]],#N/A)</f>
        <v>#N/A</v>
      </c>
    </row>
    <row r="114" spans="1:47" x14ac:dyDescent="0.2">
      <c r="A114" s="25" t="e">
        <f>IF(ISNUMBER(Table1[[#This Row],[Total Pout/Prad (dBm)]]),Table1[[#This Row],[Total Pout/Prad (dBm)]],#N/A)</f>
        <v>#N/A</v>
      </c>
      <c r="B114" s="1" t="e">
        <f>IF(ISNUMBER(Table1[[#This Row],[Total Pout/Prad (dBm)]]),Table1[[#This Row],[Total '# of TX Elements]],#N/A)</f>
        <v>#N/A</v>
      </c>
      <c r="C114" s="1" t="e">
        <f>IF(ISNUMBER(Table1[[#This Row],[TX EIRP (dBm)]]),Table1[[#This Row],[TX EIRP (dBm)]],#N/A)</f>
        <v>#N/A</v>
      </c>
      <c r="D114" s="1" t="str">
        <f>Table1[[#This Row],[TX Pdc (W)]]</f>
        <v>N/A</v>
      </c>
      <c r="E114" s="1">
        <f>IF(ISNUMBER(Table1[[#This Row],[Array Aperture Size (cm2)]]),Table1[[#This Row],[Array Aperture Size (cm2)]],IF(Table1[[#This Row],[Antenna on (None, Chip, AiP, PCB)]]="Chip",Table1[[#This Row],[Chip Core Size - X (mm)]]*Table1[[#This Row],[Chip Core Size -Y (mm)]]/100*Table1[[#This Row],['# of IC per Tile]]*Table1[[#This Row],['# of Array Tile]],#N/A))</f>
        <v>0.17361111111111113</v>
      </c>
      <c r="F114" s="1" t="e">
        <f t="shared" si="2"/>
        <v>#N/A</v>
      </c>
      <c r="G114" s="1" t="e">
        <f t="shared" si="3"/>
        <v>#N/A</v>
      </c>
      <c r="L114" s="1" t="e">
        <f>IF(Table1[[#This Row],[Frequency (GHz)]]&lt;20,Plot_Data_Power!F114,#N/A)</f>
        <v>#N/A</v>
      </c>
      <c r="M114" s="1" t="e">
        <f>IF(AND(Table1[[#This Row],[Frequency (GHz)]]&gt;=20,Table1[[#This Row],[Frequency (GHz)]]&lt;50),Plot_Data_Power!F114,#N/A)</f>
        <v>#N/A</v>
      </c>
      <c r="N114" s="1" t="e">
        <f>IF(AND(Table1[[#This Row],[Frequency (GHz)]]&gt;=50,Table1[[#This Row],[Frequency (GHz)]]&lt;75),Plot_Data_Power!F114,#N/A)</f>
        <v>#N/A</v>
      </c>
      <c r="O114" s="1" t="e">
        <f>IF(AND(Table1[[#This Row],[Frequency (GHz)]]&gt;=75,Table1[[#This Row],[Frequency (GHz)]]&lt;110),Plot_Data_Power!F114,#N/A)</f>
        <v>#N/A</v>
      </c>
      <c r="P114" s="1" t="e">
        <f>IF(AND(Table1[[#This Row],[Frequency (GHz)]]&gt;=110,Table1[[#This Row],[Frequency (GHz)]]&lt;170),Plot_Data_Power!F114,#N/A)</f>
        <v>#N/A</v>
      </c>
      <c r="Q114" s="1" t="e">
        <f>IF(AND(Table1[[#This Row],[Frequency (GHz)]]&gt;=170,Table1[[#This Row],[Frequency (GHz)]]&lt;260),Plot_Data_Power!F114,#N/A)</f>
        <v>#N/A</v>
      </c>
      <c r="R114" s="1" t="e">
        <f>IF(Table1[[#This Row],[Frequency (GHz)]]&gt;=260,Plot_Data_Power!F114,#N/A)</f>
        <v>#N/A</v>
      </c>
      <c r="U114" s="1" t="e">
        <f>IF(Table1[[#This Row],[Frequency (GHz)]]&lt;20,Plot_Data_Power!G114,#N/A)</f>
        <v>#N/A</v>
      </c>
      <c r="V114" s="1" t="e">
        <f>IF(AND(Table1[[#This Row],[Frequency (GHz)]]&gt;=20,Table1[[#This Row],[Frequency (GHz)]]&lt;50),Plot_Data_Power!G114,#N/A)</f>
        <v>#N/A</v>
      </c>
      <c r="W114" s="1" t="e">
        <f>IF(AND(Table1[[#This Row],[Frequency (GHz)]]&gt;=50,Table1[[#This Row],[Frequency (GHz)]]&lt;75),Plot_Data_Power!G114,#N/A)</f>
        <v>#N/A</v>
      </c>
      <c r="X114" s="1" t="e">
        <f>IF(AND(Table1[[#This Row],[Frequency (GHz)]]&gt;=75,Table1[[#This Row],[Frequency (GHz)]]&lt;110),Plot_Data_Power!G114,#N/A)</f>
        <v>#N/A</v>
      </c>
      <c r="Y114" s="1" t="e">
        <f>IF(AND(Table1[[#This Row],[Frequency (GHz)]]&gt;=110,Table1[[#This Row],[Frequency (GHz)]]&lt;170),Plot_Data_Power!G114,#N/A)</f>
        <v>#N/A</v>
      </c>
      <c r="Z114" s="1" t="e">
        <f>IF(AND(Table1[[#This Row],[Frequency (GHz)]]&gt;=170,Table1[[#This Row],[Frequency (GHz)]]&lt;260),Plot_Data_Power!G114,#N/A)</f>
        <v>#N/A</v>
      </c>
      <c r="AA114" s="1" t="e">
        <f>IF(Table1[[#This Row],[Frequency (GHz)]]&gt;=260,Plot_Data_Power!G114,#N/A)</f>
        <v>#N/A</v>
      </c>
      <c r="AD114" s="1">
        <f>IF(ISNUMBER(Table1[[#This Row],[Max Package Thermal Density (W/cm2)]]),Table1[[#This Row],[Max Package Thermal Density (W/cm2)]],#N/A)</f>
        <v>19.583999999999996</v>
      </c>
      <c r="AE114" s="1" t="e">
        <f>IF(AND(ISNUMBER((Table1[[#This Row],[Max Package Thermal Density (W/cm2)]])),Table1[[#This Row],[Frequency (GHz)]]&lt;20),Table1[[#This Row],[Max Package Thermal Density (W/cm2)]],#N/A)</f>
        <v>#N/A</v>
      </c>
      <c r="AF114" s="1" t="e">
        <f>IF(AND(ISNUMBER(Table1[[#This Row],[Max Package Thermal Density (W/cm2)]]),Table1[[#This Row],[Frequency (GHz)]]&gt;=20,Table1[[#This Row],[Frequency (GHz)]]&lt;50),Table1[[#This Row],[Max Package Thermal Density (W/cm2)]],#N/A)</f>
        <v>#N/A</v>
      </c>
      <c r="AG114" s="1" t="e">
        <f>IF(AND(ISNUMBER(Table1[[#This Row],[Max Package Thermal Density (W/cm2)]]),Table1[[#This Row],[Frequency (GHz)]]&gt;=50,Table1[[#This Row],[Frequency (GHz)]]&lt;75),Table1[[#This Row],[Max Package Thermal Density (W/cm2)]],#N/A)</f>
        <v>#N/A</v>
      </c>
      <c r="AH114" s="1" t="e">
        <f>IF(AND(ISNUMBER(Table1[[#This Row],[Max Package Thermal Density (W/cm2)]]),Table1[[#This Row],[Frequency (GHz)]]&gt;=75,Table1[[#This Row],[Frequency (GHz)]]&lt;110),Table1[[#This Row],[Max Package Thermal Density (W/cm2)]],#N/A)</f>
        <v>#N/A</v>
      </c>
      <c r="AI114" s="1">
        <f>IF(AND(ISNUMBER(Table1[[#This Row],[Max Package Thermal Density (W/cm2)]]),Table1[[#This Row],[Frequency (GHz)]]&gt;=110,Table1[[#This Row],[Frequency (GHz)]]&lt;170),Table1[[#This Row],[Max Package Thermal Density (W/cm2)]],#N/A)</f>
        <v>19.583999999999996</v>
      </c>
      <c r="AJ114" s="1" t="e">
        <f>IF(AND(ISNUMBER(Table1[[#This Row],[Max Package Thermal Density (W/cm2)]]),Table1[[#This Row],[Frequency (GHz)]]&gt;=170,Table1[[#This Row],[Frequency (GHz)]]&lt;260),Table1[[#This Row],[Max Package Thermal Density (W/cm2)]],#N/A)</f>
        <v>#N/A</v>
      </c>
      <c r="AK114" s="1" t="e">
        <f>IF(AND(ISNUMBER(Table1[[#This Row],[Max Package Thermal Density (W/cm2)]]),Table1[[#This Row],[Frequency (GHz)]]&gt;=260),Table1[[#This Row],[Max Package Thermal Density (W/cm2)]],#N/A)</f>
        <v>#N/A</v>
      </c>
      <c r="AN114" s="1">
        <f>IF(ISNUMBER(Table1[[#This Row],[Max Chip Thermal Density (W/cm2)]]),Table1[[#This Row],[Max Chip Thermal Density (W/cm2)]],#N/A)</f>
        <v>23.325535286732567</v>
      </c>
      <c r="AO114" s="1" t="e">
        <f>IF(AND(ISNUMBER((Table1[[#This Row],[Max Chip Thermal Density (W/cm2)]])),Table1[[#This Row],[Frequency (GHz)]]&lt;20),Table1[[#This Row],[Max Chip Thermal Density (W/cm2)]],#N/A)</f>
        <v>#N/A</v>
      </c>
      <c r="AP114" s="1" t="e">
        <f>IF(AND(ISNUMBER(Table1[[#This Row],[Max Chip Thermal Density (W/cm2)]]),Table1[[#This Row],[Frequency (GHz)]]&gt;=20,Table1[[#This Row],[Frequency (GHz)]]&lt;50),Table1[[#This Row],[Max Chip Thermal Density (W/cm2)]],#N/A)</f>
        <v>#N/A</v>
      </c>
      <c r="AQ114" s="1" t="e">
        <f>IF(AND(ISNUMBER(Table1[[#This Row],[Max Chip Thermal Density (W/cm2)]]),Table1[[#This Row],[Frequency (GHz)]]&gt;=50,Table1[[#This Row],[Frequency (GHz)]]&lt;75),Table1[[#This Row],[Max Chip Thermal Density (W/cm2)]],#N/A)</f>
        <v>#N/A</v>
      </c>
      <c r="AR114" s="1" t="e">
        <f>IF(AND(ISNUMBER(Table1[[#This Row],[Max Chip Thermal Density (W/cm2)]]),Table1[[#This Row],[Frequency (GHz)]]&gt;=75,Table1[[#This Row],[Frequency (GHz)]]&lt;110),Table1[[#This Row],[Max Chip Thermal Density (W/cm2)]],#N/A)</f>
        <v>#N/A</v>
      </c>
      <c r="AS114" s="1">
        <f>IF(AND(ISNUMBER(Table1[[#This Row],[Max Chip Thermal Density (W/cm2)]]),Table1[[#This Row],[Frequency (GHz)]]&gt;=110,Table1[[#This Row],[Frequency (GHz)]]&lt;170),Table1[[#This Row],[Max Chip Thermal Density (W/cm2)]],#N/A)</f>
        <v>23.325535286732567</v>
      </c>
      <c r="AT114" s="1" t="e">
        <f>IF(AND(ISNUMBER(Table1[[#This Row],[Max Chip Thermal Density (W/cm2)]]),Table1[[#This Row],[Frequency (GHz)]]&gt;=170,Table1[[#This Row],[Frequency (GHz)]]&lt;260),Table1[[#This Row],[Max Chip Thermal Density (W/cm2)]],#N/A)</f>
        <v>#N/A</v>
      </c>
      <c r="AU114" s="1" t="e">
        <f>IF(AND(ISNUMBER(Table1[[#This Row],[Max Chip Thermal Density (W/cm2)]]),Table1[[#This Row],[Frequency (GHz)]]&gt;=260),Table1[[#This Row],[Max Chip Thermal Density (W/cm2)]],#N/A)</f>
        <v>#N/A</v>
      </c>
    </row>
    <row r="115" spans="1:47" x14ac:dyDescent="0.2">
      <c r="A115" s="25">
        <f>IF(ISNUMBER(Table1[[#This Row],[Total Pout/Prad (dBm)]]),Table1[[#This Row],[Total Pout/Prad (dBm)]],#N/A)</f>
        <v>21.700599913279625</v>
      </c>
      <c r="B115" s="1">
        <f>IF(ISNUMBER(Table1[[#This Row],[Total Pout/Prad (dBm)]]),Table1[[#This Row],[Total '# of TX Elements]],#N/A)</f>
        <v>4</v>
      </c>
      <c r="C115" s="1" t="e">
        <f>IF(ISNUMBER(Table1[[#This Row],[TX EIRP (dBm)]]),Table1[[#This Row],[TX EIRP (dBm)]],#N/A)</f>
        <v>#N/A</v>
      </c>
      <c r="D115" s="1">
        <f>Table1[[#This Row],[TX Pdc (W)]]</f>
        <v>0.57199999999999995</v>
      </c>
      <c r="E115"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15" s="1">
        <f t="shared" si="2"/>
        <v>25.862110474144512</v>
      </c>
      <c r="G115" s="1" t="e">
        <f t="shared" si="3"/>
        <v>#N/A</v>
      </c>
      <c r="L115" s="1" t="e">
        <f>IF(Table1[[#This Row],[Frequency (GHz)]]&lt;20,Plot_Data_Power!F115,#N/A)</f>
        <v>#N/A</v>
      </c>
      <c r="M115" s="1">
        <f>IF(AND(Table1[[#This Row],[Frequency (GHz)]]&gt;=20,Table1[[#This Row],[Frequency (GHz)]]&lt;50),Plot_Data_Power!F115,#N/A)</f>
        <v>25.862110474144512</v>
      </c>
      <c r="N115" s="1" t="e">
        <f>IF(AND(Table1[[#This Row],[Frequency (GHz)]]&gt;=50,Table1[[#This Row],[Frequency (GHz)]]&lt;75),Plot_Data_Power!F115,#N/A)</f>
        <v>#N/A</v>
      </c>
      <c r="O115" s="1" t="e">
        <f>IF(AND(Table1[[#This Row],[Frequency (GHz)]]&gt;=75,Table1[[#This Row],[Frequency (GHz)]]&lt;110),Plot_Data_Power!F115,#N/A)</f>
        <v>#N/A</v>
      </c>
      <c r="P115" s="1" t="e">
        <f>IF(AND(Table1[[#This Row],[Frequency (GHz)]]&gt;=110,Table1[[#This Row],[Frequency (GHz)]]&lt;170),Plot_Data_Power!F115,#N/A)</f>
        <v>#N/A</v>
      </c>
      <c r="Q115" s="1" t="e">
        <f>IF(AND(Table1[[#This Row],[Frequency (GHz)]]&gt;=170,Table1[[#This Row],[Frequency (GHz)]]&lt;260),Plot_Data_Power!F115,#N/A)</f>
        <v>#N/A</v>
      </c>
      <c r="R115" s="1" t="e">
        <f>IF(Table1[[#This Row],[Frequency (GHz)]]&gt;=260,Plot_Data_Power!F115,#N/A)</f>
        <v>#N/A</v>
      </c>
      <c r="U115" s="1" t="e">
        <f>IF(Table1[[#This Row],[Frequency (GHz)]]&lt;20,Plot_Data_Power!G115,#N/A)</f>
        <v>#N/A</v>
      </c>
      <c r="V115" s="1" t="e">
        <f>IF(AND(Table1[[#This Row],[Frequency (GHz)]]&gt;=20,Table1[[#This Row],[Frequency (GHz)]]&lt;50),Plot_Data_Power!G115,#N/A)</f>
        <v>#N/A</v>
      </c>
      <c r="W115" s="1" t="e">
        <f>IF(AND(Table1[[#This Row],[Frequency (GHz)]]&gt;=50,Table1[[#This Row],[Frequency (GHz)]]&lt;75),Plot_Data_Power!G115,#N/A)</f>
        <v>#N/A</v>
      </c>
      <c r="X115" s="1" t="e">
        <f>IF(AND(Table1[[#This Row],[Frequency (GHz)]]&gt;=75,Table1[[#This Row],[Frequency (GHz)]]&lt;110),Plot_Data_Power!G115,#N/A)</f>
        <v>#N/A</v>
      </c>
      <c r="Y115" s="1" t="e">
        <f>IF(AND(Table1[[#This Row],[Frequency (GHz)]]&gt;=110,Table1[[#This Row],[Frequency (GHz)]]&lt;170),Plot_Data_Power!G115,#N/A)</f>
        <v>#N/A</v>
      </c>
      <c r="Z115" s="1" t="e">
        <f>IF(AND(Table1[[#This Row],[Frequency (GHz)]]&gt;=170,Table1[[#This Row],[Frequency (GHz)]]&lt;260),Plot_Data_Power!G115,#N/A)</f>
        <v>#N/A</v>
      </c>
      <c r="AA115" s="1" t="e">
        <f>IF(Table1[[#This Row],[Frequency (GHz)]]&gt;=260,Plot_Data_Power!G115,#N/A)</f>
        <v>#N/A</v>
      </c>
      <c r="AD115" s="1" t="e">
        <f>IF(ISNUMBER(Table1[[#This Row],[Max Package Thermal Density (W/cm2)]]),Table1[[#This Row],[Max Package Thermal Density (W/cm2)]],#N/A)</f>
        <v>#N/A</v>
      </c>
      <c r="AE115" s="1" t="e">
        <f>IF(AND(ISNUMBER((Table1[[#This Row],[Max Package Thermal Density (W/cm2)]])),Table1[[#This Row],[Frequency (GHz)]]&lt;20),Table1[[#This Row],[Max Package Thermal Density (W/cm2)]],#N/A)</f>
        <v>#N/A</v>
      </c>
      <c r="AF115" s="1" t="e">
        <f>IF(AND(ISNUMBER(Table1[[#This Row],[Max Package Thermal Density (W/cm2)]]),Table1[[#This Row],[Frequency (GHz)]]&gt;=20,Table1[[#This Row],[Frequency (GHz)]]&lt;50),Table1[[#This Row],[Max Package Thermal Density (W/cm2)]],#N/A)</f>
        <v>#N/A</v>
      </c>
      <c r="AG115" s="1" t="e">
        <f>IF(AND(ISNUMBER(Table1[[#This Row],[Max Package Thermal Density (W/cm2)]]),Table1[[#This Row],[Frequency (GHz)]]&gt;=50,Table1[[#This Row],[Frequency (GHz)]]&lt;75),Table1[[#This Row],[Max Package Thermal Density (W/cm2)]],#N/A)</f>
        <v>#N/A</v>
      </c>
      <c r="AH115" s="1" t="e">
        <f>IF(AND(ISNUMBER(Table1[[#This Row],[Max Package Thermal Density (W/cm2)]]),Table1[[#This Row],[Frequency (GHz)]]&gt;=75,Table1[[#This Row],[Frequency (GHz)]]&lt;110),Table1[[#This Row],[Max Package Thermal Density (W/cm2)]],#N/A)</f>
        <v>#N/A</v>
      </c>
      <c r="AI115" s="1" t="e">
        <f>IF(AND(ISNUMBER(Table1[[#This Row],[Max Package Thermal Density (W/cm2)]]),Table1[[#This Row],[Frequency (GHz)]]&gt;=110,Table1[[#This Row],[Frequency (GHz)]]&lt;170),Table1[[#This Row],[Max Package Thermal Density (W/cm2)]],#N/A)</f>
        <v>#N/A</v>
      </c>
      <c r="AJ115" s="1" t="e">
        <f>IF(AND(ISNUMBER(Table1[[#This Row],[Max Package Thermal Density (W/cm2)]]),Table1[[#This Row],[Frequency (GHz)]]&gt;=170,Table1[[#This Row],[Frequency (GHz)]]&lt;260),Table1[[#This Row],[Max Package Thermal Density (W/cm2)]],#N/A)</f>
        <v>#N/A</v>
      </c>
      <c r="AK115" s="1" t="e">
        <f>IF(AND(ISNUMBER(Table1[[#This Row],[Max Package Thermal Density (W/cm2)]]),Table1[[#This Row],[Frequency (GHz)]]&gt;=260),Table1[[#This Row],[Max Package Thermal Density (W/cm2)]],#N/A)</f>
        <v>#N/A</v>
      </c>
      <c r="AN115" s="1">
        <f>IF(ISNUMBER(Table1[[#This Row],[Max Chip Thermal Density (W/cm2)]]),Table1[[#This Row],[Max Chip Thermal Density (W/cm2)]],#N/A)</f>
        <v>13.374485596707817</v>
      </c>
      <c r="AO115" s="1" t="e">
        <f>IF(AND(ISNUMBER((Table1[[#This Row],[Max Chip Thermal Density (W/cm2)]])),Table1[[#This Row],[Frequency (GHz)]]&lt;20),Table1[[#This Row],[Max Chip Thermal Density (W/cm2)]],#N/A)</f>
        <v>#N/A</v>
      </c>
      <c r="AP115" s="1">
        <f>IF(AND(ISNUMBER(Table1[[#This Row],[Max Chip Thermal Density (W/cm2)]]),Table1[[#This Row],[Frequency (GHz)]]&gt;=20,Table1[[#This Row],[Frequency (GHz)]]&lt;50),Table1[[#This Row],[Max Chip Thermal Density (W/cm2)]],#N/A)</f>
        <v>13.374485596707817</v>
      </c>
      <c r="AQ115" s="1" t="e">
        <f>IF(AND(ISNUMBER(Table1[[#This Row],[Max Chip Thermal Density (W/cm2)]]),Table1[[#This Row],[Frequency (GHz)]]&gt;=50,Table1[[#This Row],[Frequency (GHz)]]&lt;75),Table1[[#This Row],[Max Chip Thermal Density (W/cm2)]],#N/A)</f>
        <v>#N/A</v>
      </c>
      <c r="AR115" s="1" t="e">
        <f>IF(AND(ISNUMBER(Table1[[#This Row],[Max Chip Thermal Density (W/cm2)]]),Table1[[#This Row],[Frequency (GHz)]]&gt;=75,Table1[[#This Row],[Frequency (GHz)]]&lt;110),Table1[[#This Row],[Max Chip Thermal Density (W/cm2)]],#N/A)</f>
        <v>#N/A</v>
      </c>
      <c r="AS115" s="1" t="e">
        <f>IF(AND(ISNUMBER(Table1[[#This Row],[Max Chip Thermal Density (W/cm2)]]),Table1[[#This Row],[Frequency (GHz)]]&gt;=110,Table1[[#This Row],[Frequency (GHz)]]&lt;170),Table1[[#This Row],[Max Chip Thermal Density (W/cm2)]],#N/A)</f>
        <v>#N/A</v>
      </c>
      <c r="AT115" s="1" t="e">
        <f>IF(AND(ISNUMBER(Table1[[#This Row],[Max Chip Thermal Density (W/cm2)]]),Table1[[#This Row],[Frequency (GHz)]]&gt;=170,Table1[[#This Row],[Frequency (GHz)]]&lt;260),Table1[[#This Row],[Max Chip Thermal Density (W/cm2)]],#N/A)</f>
        <v>#N/A</v>
      </c>
      <c r="AU115" s="1" t="e">
        <f>IF(AND(ISNUMBER(Table1[[#This Row],[Max Chip Thermal Density (W/cm2)]]),Table1[[#This Row],[Frequency (GHz)]]&gt;=260),Table1[[#This Row],[Max Chip Thermal Density (W/cm2)]],#N/A)</f>
        <v>#N/A</v>
      </c>
    </row>
    <row r="116" spans="1:47" x14ac:dyDescent="0.2">
      <c r="A116" s="25" t="e">
        <f>IF(ISNUMBER(Table1[[#This Row],[Total Pout/Prad (dBm)]]),Table1[[#This Row],[Total Pout/Prad (dBm)]],#N/A)</f>
        <v>#N/A</v>
      </c>
      <c r="B116" s="1" t="e">
        <f>IF(ISNUMBER(Table1[[#This Row],[Total Pout/Prad (dBm)]]),Table1[[#This Row],[Total '# of TX Elements]],#N/A)</f>
        <v>#N/A</v>
      </c>
      <c r="C116" s="1" t="e">
        <f>IF(ISNUMBER(Table1[[#This Row],[TX EIRP (dBm)]]),Table1[[#This Row],[TX EIRP (dBm)]],#N/A)</f>
        <v>#N/A</v>
      </c>
      <c r="D116" s="1" t="str">
        <f>Table1[[#This Row],[TX Pdc (W)]]</f>
        <v>N/A</v>
      </c>
      <c r="E116"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16" s="1" t="e">
        <f t="shared" si="2"/>
        <v>#N/A</v>
      </c>
      <c r="G116" s="1" t="e">
        <f t="shared" si="3"/>
        <v>#N/A</v>
      </c>
      <c r="L116" s="1" t="e">
        <f>IF(Table1[[#This Row],[Frequency (GHz)]]&lt;20,Plot_Data_Power!F116,#N/A)</f>
        <v>#N/A</v>
      </c>
      <c r="M116" s="1" t="e">
        <f>IF(AND(Table1[[#This Row],[Frequency (GHz)]]&gt;=20,Table1[[#This Row],[Frequency (GHz)]]&lt;50),Plot_Data_Power!F116,#N/A)</f>
        <v>#N/A</v>
      </c>
      <c r="N116" s="1" t="e">
        <f>IF(AND(Table1[[#This Row],[Frequency (GHz)]]&gt;=50,Table1[[#This Row],[Frequency (GHz)]]&lt;75),Plot_Data_Power!F116,#N/A)</f>
        <v>#N/A</v>
      </c>
      <c r="O116" s="1" t="e">
        <f>IF(AND(Table1[[#This Row],[Frequency (GHz)]]&gt;=75,Table1[[#This Row],[Frequency (GHz)]]&lt;110),Plot_Data_Power!F116,#N/A)</f>
        <v>#N/A</v>
      </c>
      <c r="P116" s="1" t="e">
        <f>IF(AND(Table1[[#This Row],[Frequency (GHz)]]&gt;=110,Table1[[#This Row],[Frequency (GHz)]]&lt;170),Plot_Data_Power!F116,#N/A)</f>
        <v>#N/A</v>
      </c>
      <c r="Q116" s="1" t="e">
        <f>IF(AND(Table1[[#This Row],[Frequency (GHz)]]&gt;=170,Table1[[#This Row],[Frequency (GHz)]]&lt;260),Plot_Data_Power!F116,#N/A)</f>
        <v>#N/A</v>
      </c>
      <c r="R116" s="1" t="e">
        <f>IF(Table1[[#This Row],[Frequency (GHz)]]&gt;=260,Plot_Data_Power!F116,#N/A)</f>
        <v>#N/A</v>
      </c>
      <c r="U116" s="1" t="e">
        <f>IF(Table1[[#This Row],[Frequency (GHz)]]&lt;20,Plot_Data_Power!G116,#N/A)</f>
        <v>#N/A</v>
      </c>
      <c r="V116" s="1" t="e">
        <f>IF(AND(Table1[[#This Row],[Frequency (GHz)]]&gt;=20,Table1[[#This Row],[Frequency (GHz)]]&lt;50),Plot_Data_Power!G116,#N/A)</f>
        <v>#N/A</v>
      </c>
      <c r="W116" s="1" t="e">
        <f>IF(AND(Table1[[#This Row],[Frequency (GHz)]]&gt;=50,Table1[[#This Row],[Frequency (GHz)]]&lt;75),Plot_Data_Power!G116,#N/A)</f>
        <v>#N/A</v>
      </c>
      <c r="X116" s="1" t="e">
        <f>IF(AND(Table1[[#This Row],[Frequency (GHz)]]&gt;=75,Table1[[#This Row],[Frequency (GHz)]]&lt;110),Plot_Data_Power!G116,#N/A)</f>
        <v>#N/A</v>
      </c>
      <c r="Y116" s="1" t="e">
        <f>IF(AND(Table1[[#This Row],[Frequency (GHz)]]&gt;=110,Table1[[#This Row],[Frequency (GHz)]]&lt;170),Plot_Data_Power!G116,#N/A)</f>
        <v>#N/A</v>
      </c>
      <c r="Z116" s="1" t="e">
        <f>IF(AND(Table1[[#This Row],[Frequency (GHz)]]&gt;=170,Table1[[#This Row],[Frequency (GHz)]]&lt;260),Plot_Data_Power!G116,#N/A)</f>
        <v>#N/A</v>
      </c>
      <c r="AA116" s="1" t="e">
        <f>IF(Table1[[#This Row],[Frequency (GHz)]]&gt;=260,Plot_Data_Power!G116,#N/A)</f>
        <v>#N/A</v>
      </c>
      <c r="AD116" s="1" t="e">
        <f>IF(ISNUMBER(Table1[[#This Row],[Max Package Thermal Density (W/cm2)]]),Table1[[#This Row],[Max Package Thermal Density (W/cm2)]],#N/A)</f>
        <v>#N/A</v>
      </c>
      <c r="AE116" s="1" t="e">
        <f>IF(AND(ISNUMBER((Table1[[#This Row],[Max Package Thermal Density (W/cm2)]])),Table1[[#This Row],[Frequency (GHz)]]&lt;20),Table1[[#This Row],[Max Package Thermal Density (W/cm2)]],#N/A)</f>
        <v>#N/A</v>
      </c>
      <c r="AF116" s="1" t="e">
        <f>IF(AND(ISNUMBER(Table1[[#This Row],[Max Package Thermal Density (W/cm2)]]),Table1[[#This Row],[Frequency (GHz)]]&gt;=20,Table1[[#This Row],[Frequency (GHz)]]&lt;50),Table1[[#This Row],[Max Package Thermal Density (W/cm2)]],#N/A)</f>
        <v>#N/A</v>
      </c>
      <c r="AG116" s="1" t="e">
        <f>IF(AND(ISNUMBER(Table1[[#This Row],[Max Package Thermal Density (W/cm2)]]),Table1[[#This Row],[Frequency (GHz)]]&gt;=50,Table1[[#This Row],[Frequency (GHz)]]&lt;75),Table1[[#This Row],[Max Package Thermal Density (W/cm2)]],#N/A)</f>
        <v>#N/A</v>
      </c>
      <c r="AH116" s="1" t="e">
        <f>IF(AND(ISNUMBER(Table1[[#This Row],[Max Package Thermal Density (W/cm2)]]),Table1[[#This Row],[Frequency (GHz)]]&gt;=75,Table1[[#This Row],[Frequency (GHz)]]&lt;110),Table1[[#This Row],[Max Package Thermal Density (W/cm2)]],#N/A)</f>
        <v>#N/A</v>
      </c>
      <c r="AI116" s="1" t="e">
        <f>IF(AND(ISNUMBER(Table1[[#This Row],[Max Package Thermal Density (W/cm2)]]),Table1[[#This Row],[Frequency (GHz)]]&gt;=110,Table1[[#This Row],[Frequency (GHz)]]&lt;170),Table1[[#This Row],[Max Package Thermal Density (W/cm2)]],#N/A)</f>
        <v>#N/A</v>
      </c>
      <c r="AJ116" s="1" t="e">
        <f>IF(AND(ISNUMBER(Table1[[#This Row],[Max Package Thermal Density (W/cm2)]]),Table1[[#This Row],[Frequency (GHz)]]&gt;=170,Table1[[#This Row],[Frequency (GHz)]]&lt;260),Table1[[#This Row],[Max Package Thermal Density (W/cm2)]],#N/A)</f>
        <v>#N/A</v>
      </c>
      <c r="AK116" s="1" t="e">
        <f>IF(AND(ISNUMBER(Table1[[#This Row],[Max Package Thermal Density (W/cm2)]]),Table1[[#This Row],[Frequency (GHz)]]&gt;=260),Table1[[#This Row],[Max Package Thermal Density (W/cm2)]],#N/A)</f>
        <v>#N/A</v>
      </c>
      <c r="AN116" s="1">
        <f>IF(ISNUMBER(Table1[[#This Row],[Max Chip Thermal Density (W/cm2)]]),Table1[[#This Row],[Max Chip Thermal Density (W/cm2)]],#N/A)</f>
        <v>2.3104693140794224</v>
      </c>
      <c r="AO116" s="1">
        <f>IF(AND(ISNUMBER((Table1[[#This Row],[Max Chip Thermal Density (W/cm2)]])),Table1[[#This Row],[Frequency (GHz)]]&lt;20),Table1[[#This Row],[Max Chip Thermal Density (W/cm2)]],#N/A)</f>
        <v>2.3104693140794224</v>
      </c>
      <c r="AP116" s="1" t="e">
        <f>IF(AND(ISNUMBER(Table1[[#This Row],[Max Chip Thermal Density (W/cm2)]]),Table1[[#This Row],[Frequency (GHz)]]&gt;=20,Table1[[#This Row],[Frequency (GHz)]]&lt;50),Table1[[#This Row],[Max Chip Thermal Density (W/cm2)]],#N/A)</f>
        <v>#N/A</v>
      </c>
      <c r="AQ116" s="1" t="e">
        <f>IF(AND(ISNUMBER(Table1[[#This Row],[Max Chip Thermal Density (W/cm2)]]),Table1[[#This Row],[Frequency (GHz)]]&gt;=50,Table1[[#This Row],[Frequency (GHz)]]&lt;75),Table1[[#This Row],[Max Chip Thermal Density (W/cm2)]],#N/A)</f>
        <v>#N/A</v>
      </c>
      <c r="AR116" s="1" t="e">
        <f>IF(AND(ISNUMBER(Table1[[#This Row],[Max Chip Thermal Density (W/cm2)]]),Table1[[#This Row],[Frequency (GHz)]]&gt;=75,Table1[[#This Row],[Frequency (GHz)]]&lt;110),Table1[[#This Row],[Max Chip Thermal Density (W/cm2)]],#N/A)</f>
        <v>#N/A</v>
      </c>
      <c r="AS116" s="1" t="e">
        <f>IF(AND(ISNUMBER(Table1[[#This Row],[Max Chip Thermal Density (W/cm2)]]),Table1[[#This Row],[Frequency (GHz)]]&gt;=110,Table1[[#This Row],[Frequency (GHz)]]&lt;170),Table1[[#This Row],[Max Chip Thermal Density (W/cm2)]],#N/A)</f>
        <v>#N/A</v>
      </c>
      <c r="AT116" s="1" t="e">
        <f>IF(AND(ISNUMBER(Table1[[#This Row],[Max Chip Thermal Density (W/cm2)]]),Table1[[#This Row],[Frequency (GHz)]]&gt;=170,Table1[[#This Row],[Frequency (GHz)]]&lt;260),Table1[[#This Row],[Max Chip Thermal Density (W/cm2)]],#N/A)</f>
        <v>#N/A</v>
      </c>
      <c r="AU116" s="1" t="e">
        <f>IF(AND(ISNUMBER(Table1[[#This Row],[Max Chip Thermal Density (W/cm2)]]),Table1[[#This Row],[Frequency (GHz)]]&gt;=260),Table1[[#This Row],[Max Chip Thermal Density (W/cm2)]],#N/A)</f>
        <v>#N/A</v>
      </c>
    </row>
    <row r="117" spans="1:47" x14ac:dyDescent="0.2">
      <c r="A117" s="25" t="e">
        <f>IF(ISNUMBER(Table1[[#This Row],[Total Pout/Prad (dBm)]]),Table1[[#This Row],[Total Pout/Prad (dBm)]],#N/A)</f>
        <v>#N/A</v>
      </c>
      <c r="B117" s="1" t="e">
        <f>IF(ISNUMBER(Table1[[#This Row],[Total Pout/Prad (dBm)]]),Table1[[#This Row],[Total '# of TX Elements]],#N/A)</f>
        <v>#N/A</v>
      </c>
      <c r="C117" s="1" t="e">
        <f>IF(ISNUMBER(Table1[[#This Row],[TX EIRP (dBm)]]),Table1[[#This Row],[TX EIRP (dBm)]],#N/A)</f>
        <v>#N/A</v>
      </c>
      <c r="D117" s="1" t="str">
        <f>Table1[[#This Row],[TX Pdc (W)]]</f>
        <v>N/A</v>
      </c>
      <c r="E117"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17" s="1" t="e">
        <f t="shared" si="2"/>
        <v>#N/A</v>
      </c>
      <c r="G117" s="1" t="e">
        <f t="shared" si="3"/>
        <v>#N/A</v>
      </c>
      <c r="L117" s="1" t="e">
        <f>IF(Table1[[#This Row],[Frequency (GHz)]]&lt;20,Plot_Data_Power!F117,#N/A)</f>
        <v>#N/A</v>
      </c>
      <c r="M117" s="1" t="e">
        <f>IF(AND(Table1[[#This Row],[Frequency (GHz)]]&gt;=20,Table1[[#This Row],[Frequency (GHz)]]&lt;50),Plot_Data_Power!F117,#N/A)</f>
        <v>#N/A</v>
      </c>
      <c r="N117" s="1" t="e">
        <f>IF(AND(Table1[[#This Row],[Frequency (GHz)]]&gt;=50,Table1[[#This Row],[Frequency (GHz)]]&lt;75),Plot_Data_Power!F117,#N/A)</f>
        <v>#N/A</v>
      </c>
      <c r="O117" s="1" t="e">
        <f>IF(AND(Table1[[#This Row],[Frequency (GHz)]]&gt;=75,Table1[[#This Row],[Frequency (GHz)]]&lt;110),Plot_Data_Power!F117,#N/A)</f>
        <v>#N/A</v>
      </c>
      <c r="P117" s="1" t="e">
        <f>IF(AND(Table1[[#This Row],[Frequency (GHz)]]&gt;=110,Table1[[#This Row],[Frequency (GHz)]]&lt;170),Plot_Data_Power!F117,#N/A)</f>
        <v>#N/A</v>
      </c>
      <c r="Q117" s="1" t="e">
        <f>IF(AND(Table1[[#This Row],[Frequency (GHz)]]&gt;=170,Table1[[#This Row],[Frequency (GHz)]]&lt;260),Plot_Data_Power!F117,#N/A)</f>
        <v>#N/A</v>
      </c>
      <c r="R117" s="1" t="e">
        <f>IF(Table1[[#This Row],[Frequency (GHz)]]&gt;=260,Plot_Data_Power!F117,#N/A)</f>
        <v>#N/A</v>
      </c>
      <c r="U117" s="1" t="e">
        <f>IF(Table1[[#This Row],[Frequency (GHz)]]&lt;20,Plot_Data_Power!G117,#N/A)</f>
        <v>#N/A</v>
      </c>
      <c r="V117" s="1" t="e">
        <f>IF(AND(Table1[[#This Row],[Frequency (GHz)]]&gt;=20,Table1[[#This Row],[Frequency (GHz)]]&lt;50),Plot_Data_Power!G117,#N/A)</f>
        <v>#N/A</v>
      </c>
      <c r="W117" s="1" t="e">
        <f>IF(AND(Table1[[#This Row],[Frequency (GHz)]]&gt;=50,Table1[[#This Row],[Frequency (GHz)]]&lt;75),Plot_Data_Power!G117,#N/A)</f>
        <v>#N/A</v>
      </c>
      <c r="X117" s="1" t="e">
        <f>IF(AND(Table1[[#This Row],[Frequency (GHz)]]&gt;=75,Table1[[#This Row],[Frequency (GHz)]]&lt;110),Plot_Data_Power!G117,#N/A)</f>
        <v>#N/A</v>
      </c>
      <c r="Y117" s="1" t="e">
        <f>IF(AND(Table1[[#This Row],[Frequency (GHz)]]&gt;=110,Table1[[#This Row],[Frequency (GHz)]]&lt;170),Plot_Data_Power!G117,#N/A)</f>
        <v>#N/A</v>
      </c>
      <c r="Z117" s="1" t="e">
        <f>IF(AND(Table1[[#This Row],[Frequency (GHz)]]&gt;=170,Table1[[#This Row],[Frequency (GHz)]]&lt;260),Plot_Data_Power!G117,#N/A)</f>
        <v>#N/A</v>
      </c>
      <c r="AA117" s="1" t="e">
        <f>IF(Table1[[#This Row],[Frequency (GHz)]]&gt;=260,Plot_Data_Power!G117,#N/A)</f>
        <v>#N/A</v>
      </c>
      <c r="AD117" s="1" t="e">
        <f>IF(ISNUMBER(Table1[[#This Row],[Max Package Thermal Density (W/cm2)]]),Table1[[#This Row],[Max Package Thermal Density (W/cm2)]],#N/A)</f>
        <v>#N/A</v>
      </c>
      <c r="AE117" s="1" t="e">
        <f>IF(AND(ISNUMBER((Table1[[#This Row],[Max Package Thermal Density (W/cm2)]])),Table1[[#This Row],[Frequency (GHz)]]&lt;20),Table1[[#This Row],[Max Package Thermal Density (W/cm2)]],#N/A)</f>
        <v>#N/A</v>
      </c>
      <c r="AF117" s="1" t="e">
        <f>IF(AND(ISNUMBER(Table1[[#This Row],[Max Package Thermal Density (W/cm2)]]),Table1[[#This Row],[Frequency (GHz)]]&gt;=20,Table1[[#This Row],[Frequency (GHz)]]&lt;50),Table1[[#This Row],[Max Package Thermal Density (W/cm2)]],#N/A)</f>
        <v>#N/A</v>
      </c>
      <c r="AG117" s="1" t="e">
        <f>IF(AND(ISNUMBER(Table1[[#This Row],[Max Package Thermal Density (W/cm2)]]),Table1[[#This Row],[Frequency (GHz)]]&gt;=50,Table1[[#This Row],[Frequency (GHz)]]&lt;75),Table1[[#This Row],[Max Package Thermal Density (W/cm2)]],#N/A)</f>
        <v>#N/A</v>
      </c>
      <c r="AH117" s="1" t="e">
        <f>IF(AND(ISNUMBER(Table1[[#This Row],[Max Package Thermal Density (W/cm2)]]),Table1[[#This Row],[Frequency (GHz)]]&gt;=75,Table1[[#This Row],[Frequency (GHz)]]&lt;110),Table1[[#This Row],[Max Package Thermal Density (W/cm2)]],#N/A)</f>
        <v>#N/A</v>
      </c>
      <c r="AI117" s="1" t="e">
        <f>IF(AND(ISNUMBER(Table1[[#This Row],[Max Package Thermal Density (W/cm2)]]),Table1[[#This Row],[Frequency (GHz)]]&gt;=110,Table1[[#This Row],[Frequency (GHz)]]&lt;170),Table1[[#This Row],[Max Package Thermal Density (W/cm2)]],#N/A)</f>
        <v>#N/A</v>
      </c>
      <c r="AJ117" s="1" t="e">
        <f>IF(AND(ISNUMBER(Table1[[#This Row],[Max Package Thermal Density (W/cm2)]]),Table1[[#This Row],[Frequency (GHz)]]&gt;=170,Table1[[#This Row],[Frequency (GHz)]]&lt;260),Table1[[#This Row],[Max Package Thermal Density (W/cm2)]],#N/A)</f>
        <v>#N/A</v>
      </c>
      <c r="AK117" s="1" t="e">
        <f>IF(AND(ISNUMBER(Table1[[#This Row],[Max Package Thermal Density (W/cm2)]]),Table1[[#This Row],[Frequency (GHz)]]&gt;=260),Table1[[#This Row],[Max Package Thermal Density (W/cm2)]],#N/A)</f>
        <v>#N/A</v>
      </c>
      <c r="AN117" s="1" t="e">
        <f>IF(ISNUMBER(Table1[[#This Row],[Max Chip Thermal Density (W/cm2)]]),Table1[[#This Row],[Max Chip Thermal Density (W/cm2)]],#N/A)</f>
        <v>#N/A</v>
      </c>
      <c r="AO117" s="1" t="e">
        <f>IF(AND(ISNUMBER((Table1[[#This Row],[Max Chip Thermal Density (W/cm2)]])),Table1[[#This Row],[Frequency (GHz)]]&lt;20),Table1[[#This Row],[Max Chip Thermal Density (W/cm2)]],#N/A)</f>
        <v>#N/A</v>
      </c>
      <c r="AP117" s="1" t="e">
        <f>IF(AND(ISNUMBER(Table1[[#This Row],[Max Chip Thermal Density (W/cm2)]]),Table1[[#This Row],[Frequency (GHz)]]&gt;=20,Table1[[#This Row],[Frequency (GHz)]]&lt;50),Table1[[#This Row],[Max Chip Thermal Density (W/cm2)]],#N/A)</f>
        <v>#N/A</v>
      </c>
      <c r="AQ117" s="1" t="e">
        <f>IF(AND(ISNUMBER(Table1[[#This Row],[Max Chip Thermal Density (W/cm2)]]),Table1[[#This Row],[Frequency (GHz)]]&gt;=50,Table1[[#This Row],[Frequency (GHz)]]&lt;75),Table1[[#This Row],[Max Chip Thermal Density (W/cm2)]],#N/A)</f>
        <v>#N/A</v>
      </c>
      <c r="AR117" s="1" t="e">
        <f>IF(AND(ISNUMBER(Table1[[#This Row],[Max Chip Thermal Density (W/cm2)]]),Table1[[#This Row],[Frequency (GHz)]]&gt;=75,Table1[[#This Row],[Frequency (GHz)]]&lt;110),Table1[[#This Row],[Max Chip Thermal Density (W/cm2)]],#N/A)</f>
        <v>#N/A</v>
      </c>
      <c r="AS117" s="1" t="e">
        <f>IF(AND(ISNUMBER(Table1[[#This Row],[Max Chip Thermal Density (W/cm2)]]),Table1[[#This Row],[Frequency (GHz)]]&gt;=110,Table1[[#This Row],[Frequency (GHz)]]&lt;170),Table1[[#This Row],[Max Chip Thermal Density (W/cm2)]],#N/A)</f>
        <v>#N/A</v>
      </c>
      <c r="AT117" s="1" t="e">
        <f>IF(AND(ISNUMBER(Table1[[#This Row],[Max Chip Thermal Density (W/cm2)]]),Table1[[#This Row],[Frequency (GHz)]]&gt;=170,Table1[[#This Row],[Frequency (GHz)]]&lt;260),Table1[[#This Row],[Max Chip Thermal Density (W/cm2)]],#N/A)</f>
        <v>#N/A</v>
      </c>
      <c r="AU117" s="1" t="e">
        <f>IF(AND(ISNUMBER(Table1[[#This Row],[Max Chip Thermal Density (W/cm2)]]),Table1[[#This Row],[Frequency (GHz)]]&gt;=260),Table1[[#This Row],[Max Chip Thermal Density (W/cm2)]],#N/A)</f>
        <v>#N/A</v>
      </c>
    </row>
    <row r="118" spans="1:47" x14ac:dyDescent="0.2">
      <c r="A118" s="25" t="e">
        <f>IF(ISNUMBER(Table1[[#This Row],[Total Pout/Prad (dBm)]]),Table1[[#This Row],[Total Pout/Prad (dBm)]],#N/A)</f>
        <v>#N/A</v>
      </c>
      <c r="B118" s="1" t="e">
        <f>IF(ISNUMBER(Table1[[#This Row],[Total Pout/Prad (dBm)]]),Table1[[#This Row],[Total '# of TX Elements]],#N/A)</f>
        <v>#N/A</v>
      </c>
      <c r="C118" s="1" t="e">
        <f>IF(ISNUMBER(Table1[[#This Row],[TX EIRP (dBm)]]),Table1[[#This Row],[TX EIRP (dBm)]],#N/A)</f>
        <v>#N/A</v>
      </c>
      <c r="D118" s="1" t="str">
        <f>Table1[[#This Row],[TX Pdc (W)]]</f>
        <v>N/A</v>
      </c>
      <c r="E118"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18" s="1" t="e">
        <f t="shared" si="2"/>
        <v>#N/A</v>
      </c>
      <c r="G118" s="1" t="e">
        <f t="shared" si="3"/>
        <v>#N/A</v>
      </c>
      <c r="L118" s="1" t="e">
        <f>IF(Table1[[#This Row],[Frequency (GHz)]]&lt;20,Plot_Data_Power!F118,#N/A)</f>
        <v>#N/A</v>
      </c>
      <c r="M118" s="1" t="e">
        <f>IF(AND(Table1[[#This Row],[Frequency (GHz)]]&gt;=20,Table1[[#This Row],[Frequency (GHz)]]&lt;50),Plot_Data_Power!F118,#N/A)</f>
        <v>#N/A</v>
      </c>
      <c r="N118" s="1" t="e">
        <f>IF(AND(Table1[[#This Row],[Frequency (GHz)]]&gt;=50,Table1[[#This Row],[Frequency (GHz)]]&lt;75),Plot_Data_Power!F118,#N/A)</f>
        <v>#N/A</v>
      </c>
      <c r="O118" s="1" t="e">
        <f>IF(AND(Table1[[#This Row],[Frequency (GHz)]]&gt;=75,Table1[[#This Row],[Frequency (GHz)]]&lt;110),Plot_Data_Power!F118,#N/A)</f>
        <v>#N/A</v>
      </c>
      <c r="P118" s="1" t="e">
        <f>IF(AND(Table1[[#This Row],[Frequency (GHz)]]&gt;=110,Table1[[#This Row],[Frequency (GHz)]]&lt;170),Plot_Data_Power!F118,#N/A)</f>
        <v>#N/A</v>
      </c>
      <c r="Q118" s="1" t="e">
        <f>IF(AND(Table1[[#This Row],[Frequency (GHz)]]&gt;=170,Table1[[#This Row],[Frequency (GHz)]]&lt;260),Plot_Data_Power!F118,#N/A)</f>
        <v>#N/A</v>
      </c>
      <c r="R118" s="1" t="e">
        <f>IF(Table1[[#This Row],[Frequency (GHz)]]&gt;=260,Plot_Data_Power!F118,#N/A)</f>
        <v>#N/A</v>
      </c>
      <c r="U118" s="1" t="e">
        <f>IF(Table1[[#This Row],[Frequency (GHz)]]&lt;20,Plot_Data_Power!G118,#N/A)</f>
        <v>#N/A</v>
      </c>
      <c r="V118" s="1" t="e">
        <f>IF(AND(Table1[[#This Row],[Frequency (GHz)]]&gt;=20,Table1[[#This Row],[Frequency (GHz)]]&lt;50),Plot_Data_Power!G118,#N/A)</f>
        <v>#N/A</v>
      </c>
      <c r="W118" s="1" t="e">
        <f>IF(AND(Table1[[#This Row],[Frequency (GHz)]]&gt;=50,Table1[[#This Row],[Frequency (GHz)]]&lt;75),Plot_Data_Power!G118,#N/A)</f>
        <v>#N/A</v>
      </c>
      <c r="X118" s="1" t="e">
        <f>IF(AND(Table1[[#This Row],[Frequency (GHz)]]&gt;=75,Table1[[#This Row],[Frequency (GHz)]]&lt;110),Plot_Data_Power!G118,#N/A)</f>
        <v>#N/A</v>
      </c>
      <c r="Y118" s="1" t="e">
        <f>IF(AND(Table1[[#This Row],[Frequency (GHz)]]&gt;=110,Table1[[#This Row],[Frequency (GHz)]]&lt;170),Plot_Data_Power!G118,#N/A)</f>
        <v>#N/A</v>
      </c>
      <c r="Z118" s="1" t="e">
        <f>IF(AND(Table1[[#This Row],[Frequency (GHz)]]&gt;=170,Table1[[#This Row],[Frequency (GHz)]]&lt;260),Plot_Data_Power!G118,#N/A)</f>
        <v>#N/A</v>
      </c>
      <c r="AA118" s="1" t="e">
        <f>IF(Table1[[#This Row],[Frequency (GHz)]]&gt;=260,Plot_Data_Power!G118,#N/A)</f>
        <v>#N/A</v>
      </c>
      <c r="AD118" s="1" t="e">
        <f>IF(ISNUMBER(Table1[[#This Row],[Max Package Thermal Density (W/cm2)]]),Table1[[#This Row],[Max Package Thermal Density (W/cm2)]],#N/A)</f>
        <v>#N/A</v>
      </c>
      <c r="AE118" s="1" t="e">
        <f>IF(AND(ISNUMBER((Table1[[#This Row],[Max Package Thermal Density (W/cm2)]])),Table1[[#This Row],[Frequency (GHz)]]&lt;20),Table1[[#This Row],[Max Package Thermal Density (W/cm2)]],#N/A)</f>
        <v>#N/A</v>
      </c>
      <c r="AF118" s="1" t="e">
        <f>IF(AND(ISNUMBER(Table1[[#This Row],[Max Package Thermal Density (W/cm2)]]),Table1[[#This Row],[Frequency (GHz)]]&gt;=20,Table1[[#This Row],[Frequency (GHz)]]&lt;50),Table1[[#This Row],[Max Package Thermal Density (W/cm2)]],#N/A)</f>
        <v>#N/A</v>
      </c>
      <c r="AG118" s="1" t="e">
        <f>IF(AND(ISNUMBER(Table1[[#This Row],[Max Package Thermal Density (W/cm2)]]),Table1[[#This Row],[Frequency (GHz)]]&gt;=50,Table1[[#This Row],[Frequency (GHz)]]&lt;75),Table1[[#This Row],[Max Package Thermal Density (W/cm2)]],#N/A)</f>
        <v>#N/A</v>
      </c>
      <c r="AH118" s="1" t="e">
        <f>IF(AND(ISNUMBER(Table1[[#This Row],[Max Package Thermal Density (W/cm2)]]),Table1[[#This Row],[Frequency (GHz)]]&gt;=75,Table1[[#This Row],[Frequency (GHz)]]&lt;110),Table1[[#This Row],[Max Package Thermal Density (W/cm2)]],#N/A)</f>
        <v>#N/A</v>
      </c>
      <c r="AI118" s="1" t="e">
        <f>IF(AND(ISNUMBER(Table1[[#This Row],[Max Package Thermal Density (W/cm2)]]),Table1[[#This Row],[Frequency (GHz)]]&gt;=110,Table1[[#This Row],[Frequency (GHz)]]&lt;170),Table1[[#This Row],[Max Package Thermal Density (W/cm2)]],#N/A)</f>
        <v>#N/A</v>
      </c>
      <c r="AJ118" s="1" t="e">
        <f>IF(AND(ISNUMBER(Table1[[#This Row],[Max Package Thermal Density (W/cm2)]]),Table1[[#This Row],[Frequency (GHz)]]&gt;=170,Table1[[#This Row],[Frequency (GHz)]]&lt;260),Table1[[#This Row],[Max Package Thermal Density (W/cm2)]],#N/A)</f>
        <v>#N/A</v>
      </c>
      <c r="AK118" s="1" t="e">
        <f>IF(AND(ISNUMBER(Table1[[#This Row],[Max Package Thermal Density (W/cm2)]]),Table1[[#This Row],[Frequency (GHz)]]&gt;=260),Table1[[#This Row],[Max Package Thermal Density (W/cm2)]],#N/A)</f>
        <v>#N/A</v>
      </c>
      <c r="AN118" s="1">
        <f>IF(ISNUMBER(Table1[[#This Row],[Max Chip Thermal Density (W/cm2)]]),Table1[[#This Row],[Max Chip Thermal Density (W/cm2)]],#N/A)</f>
        <v>1.607142857142857</v>
      </c>
      <c r="AO118" s="1" t="e">
        <f>IF(AND(ISNUMBER((Table1[[#This Row],[Max Chip Thermal Density (W/cm2)]])),Table1[[#This Row],[Frequency (GHz)]]&lt;20),Table1[[#This Row],[Max Chip Thermal Density (W/cm2)]],#N/A)</f>
        <v>#N/A</v>
      </c>
      <c r="AP118" s="1">
        <f>IF(AND(ISNUMBER(Table1[[#This Row],[Max Chip Thermal Density (W/cm2)]]),Table1[[#This Row],[Frequency (GHz)]]&gt;=20,Table1[[#This Row],[Frequency (GHz)]]&lt;50),Table1[[#This Row],[Max Chip Thermal Density (W/cm2)]],#N/A)</f>
        <v>1.607142857142857</v>
      </c>
      <c r="AQ118" s="1" t="e">
        <f>IF(AND(ISNUMBER(Table1[[#This Row],[Max Chip Thermal Density (W/cm2)]]),Table1[[#This Row],[Frequency (GHz)]]&gt;=50,Table1[[#This Row],[Frequency (GHz)]]&lt;75),Table1[[#This Row],[Max Chip Thermal Density (W/cm2)]],#N/A)</f>
        <v>#N/A</v>
      </c>
      <c r="AR118" s="1" t="e">
        <f>IF(AND(ISNUMBER(Table1[[#This Row],[Max Chip Thermal Density (W/cm2)]]),Table1[[#This Row],[Frequency (GHz)]]&gt;=75,Table1[[#This Row],[Frequency (GHz)]]&lt;110),Table1[[#This Row],[Max Chip Thermal Density (W/cm2)]],#N/A)</f>
        <v>#N/A</v>
      </c>
      <c r="AS118" s="1" t="e">
        <f>IF(AND(ISNUMBER(Table1[[#This Row],[Max Chip Thermal Density (W/cm2)]]),Table1[[#This Row],[Frequency (GHz)]]&gt;=110,Table1[[#This Row],[Frequency (GHz)]]&lt;170),Table1[[#This Row],[Max Chip Thermal Density (W/cm2)]],#N/A)</f>
        <v>#N/A</v>
      </c>
      <c r="AT118" s="1" t="e">
        <f>IF(AND(ISNUMBER(Table1[[#This Row],[Max Chip Thermal Density (W/cm2)]]),Table1[[#This Row],[Frequency (GHz)]]&gt;=170,Table1[[#This Row],[Frequency (GHz)]]&lt;260),Table1[[#This Row],[Max Chip Thermal Density (W/cm2)]],#N/A)</f>
        <v>#N/A</v>
      </c>
      <c r="AU118" s="1" t="e">
        <f>IF(AND(ISNUMBER(Table1[[#This Row],[Max Chip Thermal Density (W/cm2)]]),Table1[[#This Row],[Frequency (GHz)]]&gt;=260),Table1[[#This Row],[Max Chip Thermal Density (W/cm2)]],#N/A)</f>
        <v>#N/A</v>
      </c>
    </row>
    <row r="119" spans="1:47" x14ac:dyDescent="0.2">
      <c r="A119" s="25" t="e">
        <f>IF(ISNUMBER(Table1[[#This Row],[Total Pout/Prad (dBm)]]),Table1[[#This Row],[Total Pout/Prad (dBm)]],#N/A)</f>
        <v>#N/A</v>
      </c>
      <c r="B119" s="1" t="e">
        <f>IF(ISNUMBER(Table1[[#This Row],[Total Pout/Prad (dBm)]]),Table1[[#This Row],[Total '# of TX Elements]],#N/A)</f>
        <v>#N/A</v>
      </c>
      <c r="C119" s="1" t="e">
        <f>IF(ISNUMBER(Table1[[#This Row],[TX EIRP (dBm)]]),Table1[[#This Row],[TX EIRP (dBm)]],#N/A)</f>
        <v>#N/A</v>
      </c>
      <c r="D119" s="1" t="str">
        <f>Table1[[#This Row],[TX Pdc (W)]]</f>
        <v>N/A</v>
      </c>
      <c r="E119"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19" s="1" t="e">
        <f t="shared" si="2"/>
        <v>#N/A</v>
      </c>
      <c r="G119" s="1" t="e">
        <f t="shared" si="3"/>
        <v>#N/A</v>
      </c>
      <c r="L119" s="1" t="e">
        <f>IF(Table1[[#This Row],[Frequency (GHz)]]&lt;20,Plot_Data_Power!F119,#N/A)</f>
        <v>#N/A</v>
      </c>
      <c r="M119" s="1" t="e">
        <f>IF(AND(Table1[[#This Row],[Frequency (GHz)]]&gt;=20,Table1[[#This Row],[Frequency (GHz)]]&lt;50),Plot_Data_Power!F119,#N/A)</f>
        <v>#N/A</v>
      </c>
      <c r="N119" s="1" t="e">
        <f>IF(AND(Table1[[#This Row],[Frequency (GHz)]]&gt;=50,Table1[[#This Row],[Frequency (GHz)]]&lt;75),Plot_Data_Power!F119,#N/A)</f>
        <v>#N/A</v>
      </c>
      <c r="O119" s="1" t="e">
        <f>IF(AND(Table1[[#This Row],[Frequency (GHz)]]&gt;=75,Table1[[#This Row],[Frequency (GHz)]]&lt;110),Plot_Data_Power!F119,#N/A)</f>
        <v>#N/A</v>
      </c>
      <c r="P119" s="1" t="e">
        <f>IF(AND(Table1[[#This Row],[Frequency (GHz)]]&gt;=110,Table1[[#This Row],[Frequency (GHz)]]&lt;170),Plot_Data_Power!F119,#N/A)</f>
        <v>#N/A</v>
      </c>
      <c r="Q119" s="1" t="e">
        <f>IF(AND(Table1[[#This Row],[Frequency (GHz)]]&gt;=170,Table1[[#This Row],[Frequency (GHz)]]&lt;260),Plot_Data_Power!F119,#N/A)</f>
        <v>#N/A</v>
      </c>
      <c r="R119" s="1" t="e">
        <f>IF(Table1[[#This Row],[Frequency (GHz)]]&gt;=260,Plot_Data_Power!F119,#N/A)</f>
        <v>#N/A</v>
      </c>
      <c r="U119" s="1" t="e">
        <f>IF(Table1[[#This Row],[Frequency (GHz)]]&lt;20,Plot_Data_Power!G119,#N/A)</f>
        <v>#N/A</v>
      </c>
      <c r="V119" s="1" t="e">
        <f>IF(AND(Table1[[#This Row],[Frequency (GHz)]]&gt;=20,Table1[[#This Row],[Frequency (GHz)]]&lt;50),Plot_Data_Power!G119,#N/A)</f>
        <v>#N/A</v>
      </c>
      <c r="W119" s="1" t="e">
        <f>IF(AND(Table1[[#This Row],[Frequency (GHz)]]&gt;=50,Table1[[#This Row],[Frequency (GHz)]]&lt;75),Plot_Data_Power!G119,#N/A)</f>
        <v>#N/A</v>
      </c>
      <c r="X119" s="1" t="e">
        <f>IF(AND(Table1[[#This Row],[Frequency (GHz)]]&gt;=75,Table1[[#This Row],[Frequency (GHz)]]&lt;110),Plot_Data_Power!G119,#N/A)</f>
        <v>#N/A</v>
      </c>
      <c r="Y119" s="1" t="e">
        <f>IF(AND(Table1[[#This Row],[Frequency (GHz)]]&gt;=110,Table1[[#This Row],[Frequency (GHz)]]&lt;170),Plot_Data_Power!G119,#N/A)</f>
        <v>#N/A</v>
      </c>
      <c r="Z119" s="1" t="e">
        <f>IF(AND(Table1[[#This Row],[Frequency (GHz)]]&gt;=170,Table1[[#This Row],[Frequency (GHz)]]&lt;260),Plot_Data_Power!G119,#N/A)</f>
        <v>#N/A</v>
      </c>
      <c r="AA119" s="1" t="e">
        <f>IF(Table1[[#This Row],[Frequency (GHz)]]&gt;=260,Plot_Data_Power!G119,#N/A)</f>
        <v>#N/A</v>
      </c>
      <c r="AD119" s="1" t="e">
        <f>IF(ISNUMBER(Table1[[#This Row],[Max Package Thermal Density (W/cm2)]]),Table1[[#This Row],[Max Package Thermal Density (W/cm2)]],#N/A)</f>
        <v>#N/A</v>
      </c>
      <c r="AE119" s="1" t="e">
        <f>IF(AND(ISNUMBER((Table1[[#This Row],[Max Package Thermal Density (W/cm2)]])),Table1[[#This Row],[Frequency (GHz)]]&lt;20),Table1[[#This Row],[Max Package Thermal Density (W/cm2)]],#N/A)</f>
        <v>#N/A</v>
      </c>
      <c r="AF119" s="1" t="e">
        <f>IF(AND(ISNUMBER(Table1[[#This Row],[Max Package Thermal Density (W/cm2)]]),Table1[[#This Row],[Frequency (GHz)]]&gt;=20,Table1[[#This Row],[Frequency (GHz)]]&lt;50),Table1[[#This Row],[Max Package Thermal Density (W/cm2)]],#N/A)</f>
        <v>#N/A</v>
      </c>
      <c r="AG119" s="1" t="e">
        <f>IF(AND(ISNUMBER(Table1[[#This Row],[Max Package Thermal Density (W/cm2)]]),Table1[[#This Row],[Frequency (GHz)]]&gt;=50,Table1[[#This Row],[Frequency (GHz)]]&lt;75),Table1[[#This Row],[Max Package Thermal Density (W/cm2)]],#N/A)</f>
        <v>#N/A</v>
      </c>
      <c r="AH119" s="1" t="e">
        <f>IF(AND(ISNUMBER(Table1[[#This Row],[Max Package Thermal Density (W/cm2)]]),Table1[[#This Row],[Frequency (GHz)]]&gt;=75,Table1[[#This Row],[Frequency (GHz)]]&lt;110),Table1[[#This Row],[Max Package Thermal Density (W/cm2)]],#N/A)</f>
        <v>#N/A</v>
      </c>
      <c r="AI119" s="1" t="e">
        <f>IF(AND(ISNUMBER(Table1[[#This Row],[Max Package Thermal Density (W/cm2)]]),Table1[[#This Row],[Frequency (GHz)]]&gt;=110,Table1[[#This Row],[Frequency (GHz)]]&lt;170),Table1[[#This Row],[Max Package Thermal Density (W/cm2)]],#N/A)</f>
        <v>#N/A</v>
      </c>
      <c r="AJ119" s="1" t="e">
        <f>IF(AND(ISNUMBER(Table1[[#This Row],[Max Package Thermal Density (W/cm2)]]),Table1[[#This Row],[Frequency (GHz)]]&gt;=170,Table1[[#This Row],[Frequency (GHz)]]&lt;260),Table1[[#This Row],[Max Package Thermal Density (W/cm2)]],#N/A)</f>
        <v>#N/A</v>
      </c>
      <c r="AK119" s="1" t="e">
        <f>IF(AND(ISNUMBER(Table1[[#This Row],[Max Package Thermal Density (W/cm2)]]),Table1[[#This Row],[Frequency (GHz)]]&gt;=260),Table1[[#This Row],[Max Package Thermal Density (W/cm2)]],#N/A)</f>
        <v>#N/A</v>
      </c>
      <c r="AN119" s="1">
        <f>IF(ISNUMBER(Table1[[#This Row],[Max Chip Thermal Density (W/cm2)]]),Table1[[#This Row],[Max Chip Thermal Density (W/cm2)]],#N/A)</f>
        <v>1.4285714285714286</v>
      </c>
      <c r="AO119" s="1" t="e">
        <f>IF(AND(ISNUMBER((Table1[[#This Row],[Max Chip Thermal Density (W/cm2)]])),Table1[[#This Row],[Frequency (GHz)]]&lt;20),Table1[[#This Row],[Max Chip Thermal Density (W/cm2)]],#N/A)</f>
        <v>#N/A</v>
      </c>
      <c r="AP119" s="1">
        <f>IF(AND(ISNUMBER(Table1[[#This Row],[Max Chip Thermal Density (W/cm2)]]),Table1[[#This Row],[Frequency (GHz)]]&gt;=20,Table1[[#This Row],[Frequency (GHz)]]&lt;50),Table1[[#This Row],[Max Chip Thermal Density (W/cm2)]],#N/A)</f>
        <v>1.4285714285714286</v>
      </c>
      <c r="AQ119" s="1" t="e">
        <f>IF(AND(ISNUMBER(Table1[[#This Row],[Max Chip Thermal Density (W/cm2)]]),Table1[[#This Row],[Frequency (GHz)]]&gt;=50,Table1[[#This Row],[Frequency (GHz)]]&lt;75),Table1[[#This Row],[Max Chip Thermal Density (W/cm2)]],#N/A)</f>
        <v>#N/A</v>
      </c>
      <c r="AR119" s="1" t="e">
        <f>IF(AND(ISNUMBER(Table1[[#This Row],[Max Chip Thermal Density (W/cm2)]]),Table1[[#This Row],[Frequency (GHz)]]&gt;=75,Table1[[#This Row],[Frequency (GHz)]]&lt;110),Table1[[#This Row],[Max Chip Thermal Density (W/cm2)]],#N/A)</f>
        <v>#N/A</v>
      </c>
      <c r="AS119" s="1" t="e">
        <f>IF(AND(ISNUMBER(Table1[[#This Row],[Max Chip Thermal Density (W/cm2)]]),Table1[[#This Row],[Frequency (GHz)]]&gt;=110,Table1[[#This Row],[Frequency (GHz)]]&lt;170),Table1[[#This Row],[Max Chip Thermal Density (W/cm2)]],#N/A)</f>
        <v>#N/A</v>
      </c>
      <c r="AT119" s="1" t="e">
        <f>IF(AND(ISNUMBER(Table1[[#This Row],[Max Chip Thermal Density (W/cm2)]]),Table1[[#This Row],[Frequency (GHz)]]&gt;=170,Table1[[#This Row],[Frequency (GHz)]]&lt;260),Table1[[#This Row],[Max Chip Thermal Density (W/cm2)]],#N/A)</f>
        <v>#N/A</v>
      </c>
      <c r="AU119" s="1" t="e">
        <f>IF(AND(ISNUMBER(Table1[[#This Row],[Max Chip Thermal Density (W/cm2)]]),Table1[[#This Row],[Frequency (GHz)]]&gt;=260),Table1[[#This Row],[Max Chip Thermal Density (W/cm2)]],#N/A)</f>
        <v>#N/A</v>
      </c>
    </row>
    <row r="120" spans="1:47" x14ac:dyDescent="0.2">
      <c r="A120" s="25" t="e">
        <f>IF(ISNUMBER(Table1[[#This Row],[Total Pout/Prad (dBm)]]),Table1[[#This Row],[Total Pout/Prad (dBm)]],#N/A)</f>
        <v>#N/A</v>
      </c>
      <c r="B120" s="1" t="e">
        <f>IF(ISNUMBER(Table1[[#This Row],[Total Pout/Prad (dBm)]]),Table1[[#This Row],[Total '# of TX Elements]],#N/A)</f>
        <v>#N/A</v>
      </c>
      <c r="C120" s="1" t="e">
        <f>IF(ISNUMBER(Table1[[#This Row],[TX EIRP (dBm)]]),Table1[[#This Row],[TX EIRP (dBm)]],#N/A)</f>
        <v>#N/A</v>
      </c>
      <c r="D120" s="1" t="str">
        <f>Table1[[#This Row],[TX Pdc (W)]]</f>
        <v>N/A</v>
      </c>
      <c r="E120"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20" s="1" t="e">
        <f t="shared" si="2"/>
        <v>#N/A</v>
      </c>
      <c r="G120" s="1" t="e">
        <f t="shared" si="3"/>
        <v>#N/A</v>
      </c>
      <c r="L120" s="1" t="e">
        <f>IF(Table1[[#This Row],[Frequency (GHz)]]&lt;20,Plot_Data_Power!F120,#N/A)</f>
        <v>#N/A</v>
      </c>
      <c r="M120" s="1" t="e">
        <f>IF(AND(Table1[[#This Row],[Frequency (GHz)]]&gt;=20,Table1[[#This Row],[Frequency (GHz)]]&lt;50),Plot_Data_Power!F120,#N/A)</f>
        <v>#N/A</v>
      </c>
      <c r="N120" s="1" t="e">
        <f>IF(AND(Table1[[#This Row],[Frequency (GHz)]]&gt;=50,Table1[[#This Row],[Frequency (GHz)]]&lt;75),Plot_Data_Power!F120,#N/A)</f>
        <v>#N/A</v>
      </c>
      <c r="O120" s="1" t="e">
        <f>IF(AND(Table1[[#This Row],[Frequency (GHz)]]&gt;=75,Table1[[#This Row],[Frequency (GHz)]]&lt;110),Plot_Data_Power!F120,#N/A)</f>
        <v>#N/A</v>
      </c>
      <c r="P120" s="1" t="e">
        <f>IF(AND(Table1[[#This Row],[Frequency (GHz)]]&gt;=110,Table1[[#This Row],[Frequency (GHz)]]&lt;170),Plot_Data_Power!F120,#N/A)</f>
        <v>#N/A</v>
      </c>
      <c r="Q120" s="1" t="e">
        <f>IF(AND(Table1[[#This Row],[Frequency (GHz)]]&gt;=170,Table1[[#This Row],[Frequency (GHz)]]&lt;260),Plot_Data_Power!F120,#N/A)</f>
        <v>#N/A</v>
      </c>
      <c r="R120" s="1" t="e">
        <f>IF(Table1[[#This Row],[Frequency (GHz)]]&gt;=260,Plot_Data_Power!F120,#N/A)</f>
        <v>#N/A</v>
      </c>
      <c r="U120" s="1" t="e">
        <f>IF(Table1[[#This Row],[Frequency (GHz)]]&lt;20,Plot_Data_Power!G120,#N/A)</f>
        <v>#N/A</v>
      </c>
      <c r="V120" s="1" t="e">
        <f>IF(AND(Table1[[#This Row],[Frequency (GHz)]]&gt;=20,Table1[[#This Row],[Frequency (GHz)]]&lt;50),Plot_Data_Power!G120,#N/A)</f>
        <v>#N/A</v>
      </c>
      <c r="W120" s="1" t="e">
        <f>IF(AND(Table1[[#This Row],[Frequency (GHz)]]&gt;=50,Table1[[#This Row],[Frequency (GHz)]]&lt;75),Plot_Data_Power!G120,#N/A)</f>
        <v>#N/A</v>
      </c>
      <c r="X120" s="1" t="e">
        <f>IF(AND(Table1[[#This Row],[Frequency (GHz)]]&gt;=75,Table1[[#This Row],[Frequency (GHz)]]&lt;110),Plot_Data_Power!G120,#N/A)</f>
        <v>#N/A</v>
      </c>
      <c r="Y120" s="1" t="e">
        <f>IF(AND(Table1[[#This Row],[Frequency (GHz)]]&gt;=110,Table1[[#This Row],[Frequency (GHz)]]&lt;170),Plot_Data_Power!G120,#N/A)</f>
        <v>#N/A</v>
      </c>
      <c r="Z120" s="1" t="e">
        <f>IF(AND(Table1[[#This Row],[Frequency (GHz)]]&gt;=170,Table1[[#This Row],[Frequency (GHz)]]&lt;260),Plot_Data_Power!G120,#N/A)</f>
        <v>#N/A</v>
      </c>
      <c r="AA120" s="1" t="e">
        <f>IF(Table1[[#This Row],[Frequency (GHz)]]&gt;=260,Plot_Data_Power!G120,#N/A)</f>
        <v>#N/A</v>
      </c>
      <c r="AD120" s="1" t="e">
        <f>IF(ISNUMBER(Table1[[#This Row],[Max Package Thermal Density (W/cm2)]]),Table1[[#This Row],[Max Package Thermal Density (W/cm2)]],#N/A)</f>
        <v>#N/A</v>
      </c>
      <c r="AE120" s="1" t="e">
        <f>IF(AND(ISNUMBER((Table1[[#This Row],[Max Package Thermal Density (W/cm2)]])),Table1[[#This Row],[Frequency (GHz)]]&lt;20),Table1[[#This Row],[Max Package Thermal Density (W/cm2)]],#N/A)</f>
        <v>#N/A</v>
      </c>
      <c r="AF120" s="1" t="e">
        <f>IF(AND(ISNUMBER(Table1[[#This Row],[Max Package Thermal Density (W/cm2)]]),Table1[[#This Row],[Frequency (GHz)]]&gt;=20,Table1[[#This Row],[Frequency (GHz)]]&lt;50),Table1[[#This Row],[Max Package Thermal Density (W/cm2)]],#N/A)</f>
        <v>#N/A</v>
      </c>
      <c r="AG120" s="1" t="e">
        <f>IF(AND(ISNUMBER(Table1[[#This Row],[Max Package Thermal Density (W/cm2)]]),Table1[[#This Row],[Frequency (GHz)]]&gt;=50,Table1[[#This Row],[Frequency (GHz)]]&lt;75),Table1[[#This Row],[Max Package Thermal Density (W/cm2)]],#N/A)</f>
        <v>#N/A</v>
      </c>
      <c r="AH120" s="1" t="e">
        <f>IF(AND(ISNUMBER(Table1[[#This Row],[Max Package Thermal Density (W/cm2)]]),Table1[[#This Row],[Frequency (GHz)]]&gt;=75,Table1[[#This Row],[Frequency (GHz)]]&lt;110),Table1[[#This Row],[Max Package Thermal Density (W/cm2)]],#N/A)</f>
        <v>#N/A</v>
      </c>
      <c r="AI120" s="1" t="e">
        <f>IF(AND(ISNUMBER(Table1[[#This Row],[Max Package Thermal Density (W/cm2)]]),Table1[[#This Row],[Frequency (GHz)]]&gt;=110,Table1[[#This Row],[Frequency (GHz)]]&lt;170),Table1[[#This Row],[Max Package Thermal Density (W/cm2)]],#N/A)</f>
        <v>#N/A</v>
      </c>
      <c r="AJ120" s="1" t="e">
        <f>IF(AND(ISNUMBER(Table1[[#This Row],[Max Package Thermal Density (W/cm2)]]),Table1[[#This Row],[Frequency (GHz)]]&gt;=170,Table1[[#This Row],[Frequency (GHz)]]&lt;260),Table1[[#This Row],[Max Package Thermal Density (W/cm2)]],#N/A)</f>
        <v>#N/A</v>
      </c>
      <c r="AK120" s="1" t="e">
        <f>IF(AND(ISNUMBER(Table1[[#This Row],[Max Package Thermal Density (W/cm2)]]),Table1[[#This Row],[Frequency (GHz)]]&gt;=260),Table1[[#This Row],[Max Package Thermal Density (W/cm2)]],#N/A)</f>
        <v>#N/A</v>
      </c>
      <c r="AN120" s="1">
        <f>IF(ISNUMBER(Table1[[#This Row],[Max Chip Thermal Density (W/cm2)]]),Table1[[#This Row],[Max Chip Thermal Density (W/cm2)]],#N/A)</f>
        <v>2.276785714285714</v>
      </c>
      <c r="AO120" s="1" t="e">
        <f>IF(AND(ISNUMBER((Table1[[#This Row],[Max Chip Thermal Density (W/cm2)]])),Table1[[#This Row],[Frequency (GHz)]]&lt;20),Table1[[#This Row],[Max Chip Thermal Density (W/cm2)]],#N/A)</f>
        <v>#N/A</v>
      </c>
      <c r="AP120" s="1">
        <f>IF(AND(ISNUMBER(Table1[[#This Row],[Max Chip Thermal Density (W/cm2)]]),Table1[[#This Row],[Frequency (GHz)]]&gt;=20,Table1[[#This Row],[Frequency (GHz)]]&lt;50),Table1[[#This Row],[Max Chip Thermal Density (W/cm2)]],#N/A)</f>
        <v>2.276785714285714</v>
      </c>
      <c r="AQ120" s="1" t="e">
        <f>IF(AND(ISNUMBER(Table1[[#This Row],[Max Chip Thermal Density (W/cm2)]]),Table1[[#This Row],[Frequency (GHz)]]&gt;=50,Table1[[#This Row],[Frequency (GHz)]]&lt;75),Table1[[#This Row],[Max Chip Thermal Density (W/cm2)]],#N/A)</f>
        <v>#N/A</v>
      </c>
      <c r="AR120" s="1" t="e">
        <f>IF(AND(ISNUMBER(Table1[[#This Row],[Max Chip Thermal Density (W/cm2)]]),Table1[[#This Row],[Frequency (GHz)]]&gt;=75,Table1[[#This Row],[Frequency (GHz)]]&lt;110),Table1[[#This Row],[Max Chip Thermal Density (W/cm2)]],#N/A)</f>
        <v>#N/A</v>
      </c>
      <c r="AS120" s="1" t="e">
        <f>IF(AND(ISNUMBER(Table1[[#This Row],[Max Chip Thermal Density (W/cm2)]]),Table1[[#This Row],[Frequency (GHz)]]&gt;=110,Table1[[#This Row],[Frequency (GHz)]]&lt;170),Table1[[#This Row],[Max Chip Thermal Density (W/cm2)]],#N/A)</f>
        <v>#N/A</v>
      </c>
      <c r="AT120" s="1" t="e">
        <f>IF(AND(ISNUMBER(Table1[[#This Row],[Max Chip Thermal Density (W/cm2)]]),Table1[[#This Row],[Frequency (GHz)]]&gt;=170,Table1[[#This Row],[Frequency (GHz)]]&lt;260),Table1[[#This Row],[Max Chip Thermal Density (W/cm2)]],#N/A)</f>
        <v>#N/A</v>
      </c>
      <c r="AU120" s="1" t="e">
        <f>IF(AND(ISNUMBER(Table1[[#This Row],[Max Chip Thermal Density (W/cm2)]]),Table1[[#This Row],[Frequency (GHz)]]&gt;=260),Table1[[#This Row],[Max Chip Thermal Density (W/cm2)]],#N/A)</f>
        <v>#N/A</v>
      </c>
    </row>
    <row r="121" spans="1:47" x14ac:dyDescent="0.2">
      <c r="A121" s="25" t="e">
        <f>IF(ISNUMBER(Table1[[#This Row],[Total Pout/Prad (dBm)]]),Table1[[#This Row],[Total Pout/Prad (dBm)]],#N/A)</f>
        <v>#N/A</v>
      </c>
      <c r="B121" s="1" t="e">
        <f>IF(ISNUMBER(Table1[[#This Row],[Total Pout/Prad (dBm)]]),Table1[[#This Row],[Total '# of TX Elements]],#N/A)</f>
        <v>#N/A</v>
      </c>
      <c r="C121" s="1" t="e">
        <f>IF(ISNUMBER(Table1[[#This Row],[TX EIRP (dBm)]]),Table1[[#This Row],[TX EIRP (dBm)]],#N/A)</f>
        <v>#N/A</v>
      </c>
      <c r="D121" s="1" t="str">
        <f>Table1[[#This Row],[TX Pdc (W)]]</f>
        <v>N/A</v>
      </c>
      <c r="E121"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21" s="1" t="e">
        <f t="shared" si="2"/>
        <v>#N/A</v>
      </c>
      <c r="G121" s="1" t="e">
        <f t="shared" si="3"/>
        <v>#N/A</v>
      </c>
      <c r="L121" s="1" t="e">
        <f>IF(Table1[[#This Row],[Frequency (GHz)]]&lt;20,Plot_Data_Power!F121,#N/A)</f>
        <v>#N/A</v>
      </c>
      <c r="M121" s="1" t="e">
        <f>IF(AND(Table1[[#This Row],[Frequency (GHz)]]&gt;=20,Table1[[#This Row],[Frequency (GHz)]]&lt;50),Plot_Data_Power!F121,#N/A)</f>
        <v>#N/A</v>
      </c>
      <c r="N121" s="1" t="e">
        <f>IF(AND(Table1[[#This Row],[Frequency (GHz)]]&gt;=50,Table1[[#This Row],[Frequency (GHz)]]&lt;75),Plot_Data_Power!F121,#N/A)</f>
        <v>#N/A</v>
      </c>
      <c r="O121" s="1" t="e">
        <f>IF(AND(Table1[[#This Row],[Frequency (GHz)]]&gt;=75,Table1[[#This Row],[Frequency (GHz)]]&lt;110),Plot_Data_Power!F121,#N/A)</f>
        <v>#N/A</v>
      </c>
      <c r="P121" s="1" t="e">
        <f>IF(AND(Table1[[#This Row],[Frequency (GHz)]]&gt;=110,Table1[[#This Row],[Frequency (GHz)]]&lt;170),Plot_Data_Power!F121,#N/A)</f>
        <v>#N/A</v>
      </c>
      <c r="Q121" s="1" t="e">
        <f>IF(AND(Table1[[#This Row],[Frequency (GHz)]]&gt;=170,Table1[[#This Row],[Frequency (GHz)]]&lt;260),Plot_Data_Power!F121,#N/A)</f>
        <v>#N/A</v>
      </c>
      <c r="R121" s="1" t="e">
        <f>IF(Table1[[#This Row],[Frequency (GHz)]]&gt;=260,Plot_Data_Power!F121,#N/A)</f>
        <v>#N/A</v>
      </c>
      <c r="U121" s="1" t="e">
        <f>IF(Table1[[#This Row],[Frequency (GHz)]]&lt;20,Plot_Data_Power!G121,#N/A)</f>
        <v>#N/A</v>
      </c>
      <c r="V121" s="1" t="e">
        <f>IF(AND(Table1[[#This Row],[Frequency (GHz)]]&gt;=20,Table1[[#This Row],[Frequency (GHz)]]&lt;50),Plot_Data_Power!G121,#N/A)</f>
        <v>#N/A</v>
      </c>
      <c r="W121" s="1" t="e">
        <f>IF(AND(Table1[[#This Row],[Frequency (GHz)]]&gt;=50,Table1[[#This Row],[Frequency (GHz)]]&lt;75),Plot_Data_Power!G121,#N/A)</f>
        <v>#N/A</v>
      </c>
      <c r="X121" s="1" t="e">
        <f>IF(AND(Table1[[#This Row],[Frequency (GHz)]]&gt;=75,Table1[[#This Row],[Frequency (GHz)]]&lt;110),Plot_Data_Power!G121,#N/A)</f>
        <v>#N/A</v>
      </c>
      <c r="Y121" s="1" t="e">
        <f>IF(AND(Table1[[#This Row],[Frequency (GHz)]]&gt;=110,Table1[[#This Row],[Frequency (GHz)]]&lt;170),Plot_Data_Power!G121,#N/A)</f>
        <v>#N/A</v>
      </c>
      <c r="Z121" s="1" t="e">
        <f>IF(AND(Table1[[#This Row],[Frequency (GHz)]]&gt;=170,Table1[[#This Row],[Frequency (GHz)]]&lt;260),Plot_Data_Power!G121,#N/A)</f>
        <v>#N/A</v>
      </c>
      <c r="AA121" s="1" t="e">
        <f>IF(Table1[[#This Row],[Frequency (GHz)]]&gt;=260,Plot_Data_Power!G121,#N/A)</f>
        <v>#N/A</v>
      </c>
      <c r="AD121" s="1" t="e">
        <f>IF(ISNUMBER(Table1[[#This Row],[Max Package Thermal Density (W/cm2)]]),Table1[[#This Row],[Max Package Thermal Density (W/cm2)]],#N/A)</f>
        <v>#N/A</v>
      </c>
      <c r="AE121" s="1" t="e">
        <f>IF(AND(ISNUMBER((Table1[[#This Row],[Max Package Thermal Density (W/cm2)]])),Table1[[#This Row],[Frequency (GHz)]]&lt;20),Table1[[#This Row],[Max Package Thermal Density (W/cm2)]],#N/A)</f>
        <v>#N/A</v>
      </c>
      <c r="AF121" s="1" t="e">
        <f>IF(AND(ISNUMBER(Table1[[#This Row],[Max Package Thermal Density (W/cm2)]]),Table1[[#This Row],[Frequency (GHz)]]&gt;=20,Table1[[#This Row],[Frequency (GHz)]]&lt;50),Table1[[#This Row],[Max Package Thermal Density (W/cm2)]],#N/A)</f>
        <v>#N/A</v>
      </c>
      <c r="AG121" s="1" t="e">
        <f>IF(AND(ISNUMBER(Table1[[#This Row],[Max Package Thermal Density (W/cm2)]]),Table1[[#This Row],[Frequency (GHz)]]&gt;=50,Table1[[#This Row],[Frequency (GHz)]]&lt;75),Table1[[#This Row],[Max Package Thermal Density (W/cm2)]],#N/A)</f>
        <v>#N/A</v>
      </c>
      <c r="AH121" s="1" t="e">
        <f>IF(AND(ISNUMBER(Table1[[#This Row],[Max Package Thermal Density (W/cm2)]]),Table1[[#This Row],[Frequency (GHz)]]&gt;=75,Table1[[#This Row],[Frequency (GHz)]]&lt;110),Table1[[#This Row],[Max Package Thermal Density (W/cm2)]],#N/A)</f>
        <v>#N/A</v>
      </c>
      <c r="AI121" s="1" t="e">
        <f>IF(AND(ISNUMBER(Table1[[#This Row],[Max Package Thermal Density (W/cm2)]]),Table1[[#This Row],[Frequency (GHz)]]&gt;=110,Table1[[#This Row],[Frequency (GHz)]]&lt;170),Table1[[#This Row],[Max Package Thermal Density (W/cm2)]],#N/A)</f>
        <v>#N/A</v>
      </c>
      <c r="AJ121" s="1" t="e">
        <f>IF(AND(ISNUMBER(Table1[[#This Row],[Max Package Thermal Density (W/cm2)]]),Table1[[#This Row],[Frequency (GHz)]]&gt;=170,Table1[[#This Row],[Frequency (GHz)]]&lt;260),Table1[[#This Row],[Max Package Thermal Density (W/cm2)]],#N/A)</f>
        <v>#N/A</v>
      </c>
      <c r="AK121" s="1" t="e">
        <f>IF(AND(ISNUMBER(Table1[[#This Row],[Max Package Thermal Density (W/cm2)]]),Table1[[#This Row],[Frequency (GHz)]]&gt;=260),Table1[[#This Row],[Max Package Thermal Density (W/cm2)]],#N/A)</f>
        <v>#N/A</v>
      </c>
      <c r="AN121" s="1">
        <f>IF(ISNUMBER(Table1[[#This Row],[Max Chip Thermal Density (W/cm2)]]),Table1[[#This Row],[Max Chip Thermal Density (W/cm2)]],#N/A)</f>
        <v>3.1696428571428568</v>
      </c>
      <c r="AO121" s="1" t="e">
        <f>IF(AND(ISNUMBER((Table1[[#This Row],[Max Chip Thermal Density (W/cm2)]])),Table1[[#This Row],[Frequency (GHz)]]&lt;20),Table1[[#This Row],[Max Chip Thermal Density (W/cm2)]],#N/A)</f>
        <v>#N/A</v>
      </c>
      <c r="AP121" s="1" t="e">
        <f>IF(AND(ISNUMBER(Table1[[#This Row],[Max Chip Thermal Density (W/cm2)]]),Table1[[#This Row],[Frequency (GHz)]]&gt;=20,Table1[[#This Row],[Frequency (GHz)]]&lt;50),Table1[[#This Row],[Max Chip Thermal Density (W/cm2)]],#N/A)</f>
        <v>#N/A</v>
      </c>
      <c r="AQ121" s="1">
        <f>IF(AND(ISNUMBER(Table1[[#This Row],[Max Chip Thermal Density (W/cm2)]]),Table1[[#This Row],[Frequency (GHz)]]&gt;=50,Table1[[#This Row],[Frequency (GHz)]]&lt;75),Table1[[#This Row],[Max Chip Thermal Density (W/cm2)]],#N/A)</f>
        <v>3.1696428571428568</v>
      </c>
      <c r="AR121" s="1" t="e">
        <f>IF(AND(ISNUMBER(Table1[[#This Row],[Max Chip Thermal Density (W/cm2)]]),Table1[[#This Row],[Frequency (GHz)]]&gt;=75,Table1[[#This Row],[Frequency (GHz)]]&lt;110),Table1[[#This Row],[Max Chip Thermal Density (W/cm2)]],#N/A)</f>
        <v>#N/A</v>
      </c>
      <c r="AS121" s="1" t="e">
        <f>IF(AND(ISNUMBER(Table1[[#This Row],[Max Chip Thermal Density (W/cm2)]]),Table1[[#This Row],[Frequency (GHz)]]&gt;=110,Table1[[#This Row],[Frequency (GHz)]]&lt;170),Table1[[#This Row],[Max Chip Thermal Density (W/cm2)]],#N/A)</f>
        <v>#N/A</v>
      </c>
      <c r="AT121" s="1" t="e">
        <f>IF(AND(ISNUMBER(Table1[[#This Row],[Max Chip Thermal Density (W/cm2)]]),Table1[[#This Row],[Frequency (GHz)]]&gt;=170,Table1[[#This Row],[Frequency (GHz)]]&lt;260),Table1[[#This Row],[Max Chip Thermal Density (W/cm2)]],#N/A)</f>
        <v>#N/A</v>
      </c>
      <c r="AU121" s="1" t="e">
        <f>IF(AND(ISNUMBER(Table1[[#This Row],[Max Chip Thermal Density (W/cm2)]]),Table1[[#This Row],[Frequency (GHz)]]&gt;=260),Table1[[#This Row],[Max Chip Thermal Density (W/cm2)]],#N/A)</f>
        <v>#N/A</v>
      </c>
    </row>
    <row r="122" spans="1:47" x14ac:dyDescent="0.2">
      <c r="A122" s="25" t="e">
        <f>IF(ISNUMBER(Table1[[#This Row],[Total Pout/Prad (dBm)]]),Table1[[#This Row],[Total Pout/Prad (dBm)]],#N/A)</f>
        <v>#N/A</v>
      </c>
      <c r="B122" s="1" t="e">
        <f>IF(ISNUMBER(Table1[[#This Row],[Total Pout/Prad (dBm)]]),Table1[[#This Row],[Total '# of TX Elements]],#N/A)</f>
        <v>#N/A</v>
      </c>
      <c r="C122" s="1" t="e">
        <f>IF(ISNUMBER(Table1[[#This Row],[TX EIRP (dBm)]]),Table1[[#This Row],[TX EIRP (dBm)]],#N/A)</f>
        <v>#N/A</v>
      </c>
      <c r="D122" s="1" t="str">
        <f>Table1[[#This Row],[TX Pdc (W)]]</f>
        <v>N/A</v>
      </c>
      <c r="E122"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22" s="1" t="e">
        <f t="shared" si="2"/>
        <v>#N/A</v>
      </c>
      <c r="G122" s="1" t="e">
        <f t="shared" si="3"/>
        <v>#N/A</v>
      </c>
      <c r="L122" s="1" t="e">
        <f>IF(Table1[[#This Row],[Frequency (GHz)]]&lt;20,Plot_Data_Power!F122,#N/A)</f>
        <v>#N/A</v>
      </c>
      <c r="M122" s="1" t="e">
        <f>IF(AND(Table1[[#This Row],[Frequency (GHz)]]&gt;=20,Table1[[#This Row],[Frequency (GHz)]]&lt;50),Plot_Data_Power!F122,#N/A)</f>
        <v>#N/A</v>
      </c>
      <c r="N122" s="1" t="e">
        <f>IF(AND(Table1[[#This Row],[Frequency (GHz)]]&gt;=50,Table1[[#This Row],[Frequency (GHz)]]&lt;75),Plot_Data_Power!F122,#N/A)</f>
        <v>#N/A</v>
      </c>
      <c r="O122" s="1" t="e">
        <f>IF(AND(Table1[[#This Row],[Frequency (GHz)]]&gt;=75,Table1[[#This Row],[Frequency (GHz)]]&lt;110),Plot_Data_Power!F122,#N/A)</f>
        <v>#N/A</v>
      </c>
      <c r="P122" s="1" t="e">
        <f>IF(AND(Table1[[#This Row],[Frequency (GHz)]]&gt;=110,Table1[[#This Row],[Frequency (GHz)]]&lt;170),Plot_Data_Power!F122,#N/A)</f>
        <v>#N/A</v>
      </c>
      <c r="Q122" s="1" t="e">
        <f>IF(AND(Table1[[#This Row],[Frequency (GHz)]]&gt;=170,Table1[[#This Row],[Frequency (GHz)]]&lt;260),Plot_Data_Power!F122,#N/A)</f>
        <v>#N/A</v>
      </c>
      <c r="R122" s="1" t="e">
        <f>IF(Table1[[#This Row],[Frequency (GHz)]]&gt;=260,Plot_Data_Power!F122,#N/A)</f>
        <v>#N/A</v>
      </c>
      <c r="U122" s="1" t="e">
        <f>IF(Table1[[#This Row],[Frequency (GHz)]]&lt;20,Plot_Data_Power!G122,#N/A)</f>
        <v>#N/A</v>
      </c>
      <c r="V122" s="1" t="e">
        <f>IF(AND(Table1[[#This Row],[Frequency (GHz)]]&gt;=20,Table1[[#This Row],[Frequency (GHz)]]&lt;50),Plot_Data_Power!G122,#N/A)</f>
        <v>#N/A</v>
      </c>
      <c r="W122" s="1" t="e">
        <f>IF(AND(Table1[[#This Row],[Frequency (GHz)]]&gt;=50,Table1[[#This Row],[Frequency (GHz)]]&lt;75),Plot_Data_Power!G122,#N/A)</f>
        <v>#N/A</v>
      </c>
      <c r="X122" s="1" t="e">
        <f>IF(AND(Table1[[#This Row],[Frequency (GHz)]]&gt;=75,Table1[[#This Row],[Frequency (GHz)]]&lt;110),Plot_Data_Power!G122,#N/A)</f>
        <v>#N/A</v>
      </c>
      <c r="Y122" s="1" t="e">
        <f>IF(AND(Table1[[#This Row],[Frequency (GHz)]]&gt;=110,Table1[[#This Row],[Frequency (GHz)]]&lt;170),Plot_Data_Power!G122,#N/A)</f>
        <v>#N/A</v>
      </c>
      <c r="Z122" s="1" t="e">
        <f>IF(AND(Table1[[#This Row],[Frequency (GHz)]]&gt;=170,Table1[[#This Row],[Frequency (GHz)]]&lt;260),Plot_Data_Power!G122,#N/A)</f>
        <v>#N/A</v>
      </c>
      <c r="AA122" s="1" t="e">
        <f>IF(Table1[[#This Row],[Frequency (GHz)]]&gt;=260,Plot_Data_Power!G122,#N/A)</f>
        <v>#N/A</v>
      </c>
      <c r="AD122" s="1" t="e">
        <f>IF(ISNUMBER(Table1[[#This Row],[Max Package Thermal Density (W/cm2)]]),Table1[[#This Row],[Max Package Thermal Density (W/cm2)]],#N/A)</f>
        <v>#N/A</v>
      </c>
      <c r="AE122" s="1" t="e">
        <f>IF(AND(ISNUMBER((Table1[[#This Row],[Max Package Thermal Density (W/cm2)]])),Table1[[#This Row],[Frequency (GHz)]]&lt;20),Table1[[#This Row],[Max Package Thermal Density (W/cm2)]],#N/A)</f>
        <v>#N/A</v>
      </c>
      <c r="AF122" s="1" t="e">
        <f>IF(AND(ISNUMBER(Table1[[#This Row],[Max Package Thermal Density (W/cm2)]]),Table1[[#This Row],[Frequency (GHz)]]&gt;=20,Table1[[#This Row],[Frequency (GHz)]]&lt;50),Table1[[#This Row],[Max Package Thermal Density (W/cm2)]],#N/A)</f>
        <v>#N/A</v>
      </c>
      <c r="AG122" s="1" t="e">
        <f>IF(AND(ISNUMBER(Table1[[#This Row],[Max Package Thermal Density (W/cm2)]]),Table1[[#This Row],[Frequency (GHz)]]&gt;=50,Table1[[#This Row],[Frequency (GHz)]]&lt;75),Table1[[#This Row],[Max Package Thermal Density (W/cm2)]],#N/A)</f>
        <v>#N/A</v>
      </c>
      <c r="AH122" s="1" t="e">
        <f>IF(AND(ISNUMBER(Table1[[#This Row],[Max Package Thermal Density (W/cm2)]]),Table1[[#This Row],[Frequency (GHz)]]&gt;=75,Table1[[#This Row],[Frequency (GHz)]]&lt;110),Table1[[#This Row],[Max Package Thermal Density (W/cm2)]],#N/A)</f>
        <v>#N/A</v>
      </c>
      <c r="AI122" s="1" t="e">
        <f>IF(AND(ISNUMBER(Table1[[#This Row],[Max Package Thermal Density (W/cm2)]]),Table1[[#This Row],[Frequency (GHz)]]&gt;=110,Table1[[#This Row],[Frequency (GHz)]]&lt;170),Table1[[#This Row],[Max Package Thermal Density (W/cm2)]],#N/A)</f>
        <v>#N/A</v>
      </c>
      <c r="AJ122" s="1" t="e">
        <f>IF(AND(ISNUMBER(Table1[[#This Row],[Max Package Thermal Density (W/cm2)]]),Table1[[#This Row],[Frequency (GHz)]]&gt;=170,Table1[[#This Row],[Frequency (GHz)]]&lt;260),Table1[[#This Row],[Max Package Thermal Density (W/cm2)]],#N/A)</f>
        <v>#N/A</v>
      </c>
      <c r="AK122" s="1" t="e">
        <f>IF(AND(ISNUMBER(Table1[[#This Row],[Max Package Thermal Density (W/cm2)]]),Table1[[#This Row],[Frequency (GHz)]]&gt;=260),Table1[[#This Row],[Max Package Thermal Density (W/cm2)]],#N/A)</f>
        <v>#N/A</v>
      </c>
      <c r="AN122" s="1">
        <f>IF(ISNUMBER(Table1[[#This Row],[Max Chip Thermal Density (W/cm2)]]),Table1[[#This Row],[Max Chip Thermal Density (W/cm2)]],#N/A)</f>
        <v>7.2727272727272716</v>
      </c>
      <c r="AO122" s="1" t="e">
        <f>IF(AND(ISNUMBER((Table1[[#This Row],[Max Chip Thermal Density (W/cm2)]])),Table1[[#This Row],[Frequency (GHz)]]&lt;20),Table1[[#This Row],[Max Chip Thermal Density (W/cm2)]],#N/A)</f>
        <v>#N/A</v>
      </c>
      <c r="AP122" s="1">
        <f>IF(AND(ISNUMBER(Table1[[#This Row],[Max Chip Thermal Density (W/cm2)]]),Table1[[#This Row],[Frequency (GHz)]]&gt;=20,Table1[[#This Row],[Frequency (GHz)]]&lt;50),Table1[[#This Row],[Max Chip Thermal Density (W/cm2)]],#N/A)</f>
        <v>7.2727272727272716</v>
      </c>
      <c r="AQ122" s="1" t="e">
        <f>IF(AND(ISNUMBER(Table1[[#This Row],[Max Chip Thermal Density (W/cm2)]]),Table1[[#This Row],[Frequency (GHz)]]&gt;=50,Table1[[#This Row],[Frequency (GHz)]]&lt;75),Table1[[#This Row],[Max Chip Thermal Density (W/cm2)]],#N/A)</f>
        <v>#N/A</v>
      </c>
      <c r="AR122" s="1" t="e">
        <f>IF(AND(ISNUMBER(Table1[[#This Row],[Max Chip Thermal Density (W/cm2)]]),Table1[[#This Row],[Frequency (GHz)]]&gt;=75,Table1[[#This Row],[Frequency (GHz)]]&lt;110),Table1[[#This Row],[Max Chip Thermal Density (W/cm2)]],#N/A)</f>
        <v>#N/A</v>
      </c>
      <c r="AS122" s="1" t="e">
        <f>IF(AND(ISNUMBER(Table1[[#This Row],[Max Chip Thermal Density (W/cm2)]]),Table1[[#This Row],[Frequency (GHz)]]&gt;=110,Table1[[#This Row],[Frequency (GHz)]]&lt;170),Table1[[#This Row],[Max Chip Thermal Density (W/cm2)]],#N/A)</f>
        <v>#N/A</v>
      </c>
      <c r="AT122" s="1" t="e">
        <f>IF(AND(ISNUMBER(Table1[[#This Row],[Max Chip Thermal Density (W/cm2)]]),Table1[[#This Row],[Frequency (GHz)]]&gt;=170,Table1[[#This Row],[Frequency (GHz)]]&lt;260),Table1[[#This Row],[Max Chip Thermal Density (W/cm2)]],#N/A)</f>
        <v>#N/A</v>
      </c>
      <c r="AU122" s="1" t="e">
        <f>IF(AND(ISNUMBER(Table1[[#This Row],[Max Chip Thermal Density (W/cm2)]]),Table1[[#This Row],[Frequency (GHz)]]&gt;=260),Table1[[#This Row],[Max Chip Thermal Density (W/cm2)]],#N/A)</f>
        <v>#N/A</v>
      </c>
    </row>
    <row r="123" spans="1:47" x14ac:dyDescent="0.2">
      <c r="A123" s="25" t="e">
        <f>IF(ISNUMBER(Table1[[#This Row],[Total Pout/Prad (dBm)]]),Table1[[#This Row],[Total Pout/Prad (dBm)]],#N/A)</f>
        <v>#N/A</v>
      </c>
      <c r="B123" s="1" t="e">
        <f>IF(ISNUMBER(Table1[[#This Row],[Total Pout/Prad (dBm)]]),Table1[[#This Row],[Total '# of TX Elements]],#N/A)</f>
        <v>#N/A</v>
      </c>
      <c r="C123" s="1" t="e">
        <f>IF(ISNUMBER(Table1[[#This Row],[TX EIRP (dBm)]]),Table1[[#This Row],[TX EIRP (dBm)]],#N/A)</f>
        <v>#N/A</v>
      </c>
      <c r="D123" s="1" t="str">
        <f>Table1[[#This Row],[TX Pdc (W)]]</f>
        <v>N/A</v>
      </c>
      <c r="E123"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23" s="1" t="e">
        <f t="shared" si="2"/>
        <v>#N/A</v>
      </c>
      <c r="G123" s="1" t="e">
        <f t="shared" si="3"/>
        <v>#N/A</v>
      </c>
      <c r="L123" s="1" t="e">
        <f>IF(Table1[[#This Row],[Frequency (GHz)]]&lt;20,Plot_Data_Power!F123,#N/A)</f>
        <v>#N/A</v>
      </c>
      <c r="M123" s="1" t="e">
        <f>IF(AND(Table1[[#This Row],[Frequency (GHz)]]&gt;=20,Table1[[#This Row],[Frequency (GHz)]]&lt;50),Plot_Data_Power!F123,#N/A)</f>
        <v>#N/A</v>
      </c>
      <c r="N123" s="1" t="e">
        <f>IF(AND(Table1[[#This Row],[Frequency (GHz)]]&gt;=50,Table1[[#This Row],[Frequency (GHz)]]&lt;75),Plot_Data_Power!F123,#N/A)</f>
        <v>#N/A</v>
      </c>
      <c r="O123" s="1" t="e">
        <f>IF(AND(Table1[[#This Row],[Frequency (GHz)]]&gt;=75,Table1[[#This Row],[Frequency (GHz)]]&lt;110),Plot_Data_Power!F123,#N/A)</f>
        <v>#N/A</v>
      </c>
      <c r="P123" s="1" t="e">
        <f>IF(AND(Table1[[#This Row],[Frequency (GHz)]]&gt;=110,Table1[[#This Row],[Frequency (GHz)]]&lt;170),Plot_Data_Power!F123,#N/A)</f>
        <v>#N/A</v>
      </c>
      <c r="Q123" s="1" t="e">
        <f>IF(AND(Table1[[#This Row],[Frequency (GHz)]]&gt;=170,Table1[[#This Row],[Frequency (GHz)]]&lt;260),Plot_Data_Power!F123,#N/A)</f>
        <v>#N/A</v>
      </c>
      <c r="R123" s="1" t="e">
        <f>IF(Table1[[#This Row],[Frequency (GHz)]]&gt;=260,Plot_Data_Power!F123,#N/A)</f>
        <v>#N/A</v>
      </c>
      <c r="U123" s="1" t="e">
        <f>IF(Table1[[#This Row],[Frequency (GHz)]]&lt;20,Plot_Data_Power!G123,#N/A)</f>
        <v>#N/A</v>
      </c>
      <c r="V123" s="1" t="e">
        <f>IF(AND(Table1[[#This Row],[Frequency (GHz)]]&gt;=20,Table1[[#This Row],[Frequency (GHz)]]&lt;50),Plot_Data_Power!G123,#N/A)</f>
        <v>#N/A</v>
      </c>
      <c r="W123" s="1" t="e">
        <f>IF(AND(Table1[[#This Row],[Frequency (GHz)]]&gt;=50,Table1[[#This Row],[Frequency (GHz)]]&lt;75),Plot_Data_Power!G123,#N/A)</f>
        <v>#N/A</v>
      </c>
      <c r="X123" s="1" t="e">
        <f>IF(AND(Table1[[#This Row],[Frequency (GHz)]]&gt;=75,Table1[[#This Row],[Frequency (GHz)]]&lt;110),Plot_Data_Power!G123,#N/A)</f>
        <v>#N/A</v>
      </c>
      <c r="Y123" s="1" t="e">
        <f>IF(AND(Table1[[#This Row],[Frequency (GHz)]]&gt;=110,Table1[[#This Row],[Frequency (GHz)]]&lt;170),Plot_Data_Power!G123,#N/A)</f>
        <v>#N/A</v>
      </c>
      <c r="Z123" s="1" t="e">
        <f>IF(AND(Table1[[#This Row],[Frequency (GHz)]]&gt;=170,Table1[[#This Row],[Frequency (GHz)]]&lt;260),Plot_Data_Power!G123,#N/A)</f>
        <v>#N/A</v>
      </c>
      <c r="AA123" s="1" t="e">
        <f>IF(Table1[[#This Row],[Frequency (GHz)]]&gt;=260,Plot_Data_Power!G123,#N/A)</f>
        <v>#N/A</v>
      </c>
      <c r="AD123" s="1" t="e">
        <f>IF(ISNUMBER(Table1[[#This Row],[Max Package Thermal Density (W/cm2)]]),Table1[[#This Row],[Max Package Thermal Density (W/cm2)]],#N/A)</f>
        <v>#N/A</v>
      </c>
      <c r="AE123" s="1" t="e">
        <f>IF(AND(ISNUMBER((Table1[[#This Row],[Max Package Thermal Density (W/cm2)]])),Table1[[#This Row],[Frequency (GHz)]]&lt;20),Table1[[#This Row],[Max Package Thermal Density (W/cm2)]],#N/A)</f>
        <v>#N/A</v>
      </c>
      <c r="AF123" s="1" t="e">
        <f>IF(AND(ISNUMBER(Table1[[#This Row],[Max Package Thermal Density (W/cm2)]]),Table1[[#This Row],[Frequency (GHz)]]&gt;=20,Table1[[#This Row],[Frequency (GHz)]]&lt;50),Table1[[#This Row],[Max Package Thermal Density (W/cm2)]],#N/A)</f>
        <v>#N/A</v>
      </c>
      <c r="AG123" s="1" t="e">
        <f>IF(AND(ISNUMBER(Table1[[#This Row],[Max Package Thermal Density (W/cm2)]]),Table1[[#This Row],[Frequency (GHz)]]&gt;=50,Table1[[#This Row],[Frequency (GHz)]]&lt;75),Table1[[#This Row],[Max Package Thermal Density (W/cm2)]],#N/A)</f>
        <v>#N/A</v>
      </c>
      <c r="AH123" s="1" t="e">
        <f>IF(AND(ISNUMBER(Table1[[#This Row],[Max Package Thermal Density (W/cm2)]]),Table1[[#This Row],[Frequency (GHz)]]&gt;=75,Table1[[#This Row],[Frequency (GHz)]]&lt;110),Table1[[#This Row],[Max Package Thermal Density (W/cm2)]],#N/A)</f>
        <v>#N/A</v>
      </c>
      <c r="AI123" s="1" t="e">
        <f>IF(AND(ISNUMBER(Table1[[#This Row],[Max Package Thermal Density (W/cm2)]]),Table1[[#This Row],[Frequency (GHz)]]&gt;=110,Table1[[#This Row],[Frequency (GHz)]]&lt;170),Table1[[#This Row],[Max Package Thermal Density (W/cm2)]],#N/A)</f>
        <v>#N/A</v>
      </c>
      <c r="AJ123" s="1" t="e">
        <f>IF(AND(ISNUMBER(Table1[[#This Row],[Max Package Thermal Density (W/cm2)]]),Table1[[#This Row],[Frequency (GHz)]]&gt;=170,Table1[[#This Row],[Frequency (GHz)]]&lt;260),Table1[[#This Row],[Max Package Thermal Density (W/cm2)]],#N/A)</f>
        <v>#N/A</v>
      </c>
      <c r="AK123" s="1" t="e">
        <f>IF(AND(ISNUMBER(Table1[[#This Row],[Max Package Thermal Density (W/cm2)]]),Table1[[#This Row],[Frequency (GHz)]]&gt;=260),Table1[[#This Row],[Max Package Thermal Density (W/cm2)]],#N/A)</f>
        <v>#N/A</v>
      </c>
      <c r="AN123" s="1">
        <f>IF(ISNUMBER(Table1[[#This Row],[Max Chip Thermal Density (W/cm2)]]),Table1[[#This Row],[Max Chip Thermal Density (W/cm2)]],#N/A)</f>
        <v>7.2727272727272716</v>
      </c>
      <c r="AO123" s="1" t="e">
        <f>IF(AND(ISNUMBER((Table1[[#This Row],[Max Chip Thermal Density (W/cm2)]])),Table1[[#This Row],[Frequency (GHz)]]&lt;20),Table1[[#This Row],[Max Chip Thermal Density (W/cm2)]],#N/A)</f>
        <v>#N/A</v>
      </c>
      <c r="AP123" s="1">
        <f>IF(AND(ISNUMBER(Table1[[#This Row],[Max Chip Thermal Density (W/cm2)]]),Table1[[#This Row],[Frequency (GHz)]]&gt;=20,Table1[[#This Row],[Frequency (GHz)]]&lt;50),Table1[[#This Row],[Max Chip Thermal Density (W/cm2)]],#N/A)</f>
        <v>7.2727272727272716</v>
      </c>
      <c r="AQ123" s="1" t="e">
        <f>IF(AND(ISNUMBER(Table1[[#This Row],[Max Chip Thermal Density (W/cm2)]]),Table1[[#This Row],[Frequency (GHz)]]&gt;=50,Table1[[#This Row],[Frequency (GHz)]]&lt;75),Table1[[#This Row],[Max Chip Thermal Density (W/cm2)]],#N/A)</f>
        <v>#N/A</v>
      </c>
      <c r="AR123" s="1" t="e">
        <f>IF(AND(ISNUMBER(Table1[[#This Row],[Max Chip Thermal Density (W/cm2)]]),Table1[[#This Row],[Frequency (GHz)]]&gt;=75,Table1[[#This Row],[Frequency (GHz)]]&lt;110),Table1[[#This Row],[Max Chip Thermal Density (W/cm2)]],#N/A)</f>
        <v>#N/A</v>
      </c>
      <c r="AS123" s="1" t="e">
        <f>IF(AND(ISNUMBER(Table1[[#This Row],[Max Chip Thermal Density (W/cm2)]]),Table1[[#This Row],[Frequency (GHz)]]&gt;=110,Table1[[#This Row],[Frequency (GHz)]]&lt;170),Table1[[#This Row],[Max Chip Thermal Density (W/cm2)]],#N/A)</f>
        <v>#N/A</v>
      </c>
      <c r="AT123" s="1" t="e">
        <f>IF(AND(ISNUMBER(Table1[[#This Row],[Max Chip Thermal Density (W/cm2)]]),Table1[[#This Row],[Frequency (GHz)]]&gt;=170,Table1[[#This Row],[Frequency (GHz)]]&lt;260),Table1[[#This Row],[Max Chip Thermal Density (W/cm2)]],#N/A)</f>
        <v>#N/A</v>
      </c>
      <c r="AU123" s="1" t="e">
        <f>IF(AND(ISNUMBER(Table1[[#This Row],[Max Chip Thermal Density (W/cm2)]]),Table1[[#This Row],[Frequency (GHz)]]&gt;=260),Table1[[#This Row],[Max Chip Thermal Density (W/cm2)]],#N/A)</f>
        <v>#N/A</v>
      </c>
    </row>
    <row r="124" spans="1:47" x14ac:dyDescent="0.2">
      <c r="A124" s="25">
        <f>IF(ISNUMBER(Table1[[#This Row],[Total Pout/Prad (dBm)]]),Table1[[#This Row],[Total Pout/Prad (dBm)]],#N/A)</f>
        <v>31.361799739838876</v>
      </c>
      <c r="B124" s="1">
        <f>IF(ISNUMBER(Table1[[#This Row],[Total Pout/Prad (dBm)]]),Table1[[#This Row],[Total '# of TX Elements]],#N/A)</f>
        <v>64</v>
      </c>
      <c r="C124" s="1">
        <f>IF(ISNUMBER(Table1[[#This Row],[TX EIRP (dBm)]]),Table1[[#This Row],[TX EIRP (dBm)]],#N/A)</f>
        <v>54.4</v>
      </c>
      <c r="D124" s="1">
        <f>Table1[[#This Row],[TX Pdc (W)]]</f>
        <v>4.992</v>
      </c>
      <c r="E124"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24" s="1">
        <f t="shared" si="2"/>
        <v>27.409770378233802</v>
      </c>
      <c r="G124" s="1">
        <f t="shared" si="3"/>
        <v>5517.285062776773</v>
      </c>
      <c r="L124" s="1" t="e">
        <f>IF(Table1[[#This Row],[Frequency (GHz)]]&lt;20,Plot_Data_Power!F124,#N/A)</f>
        <v>#N/A</v>
      </c>
      <c r="M124" s="1">
        <f>IF(AND(Table1[[#This Row],[Frequency (GHz)]]&gt;=20,Table1[[#This Row],[Frequency (GHz)]]&lt;50),Plot_Data_Power!F124,#N/A)</f>
        <v>27.409770378233802</v>
      </c>
      <c r="N124" s="1" t="e">
        <f>IF(AND(Table1[[#This Row],[Frequency (GHz)]]&gt;=50,Table1[[#This Row],[Frequency (GHz)]]&lt;75),Plot_Data_Power!F124,#N/A)</f>
        <v>#N/A</v>
      </c>
      <c r="O124" s="1" t="e">
        <f>IF(AND(Table1[[#This Row],[Frequency (GHz)]]&gt;=75,Table1[[#This Row],[Frequency (GHz)]]&lt;110),Plot_Data_Power!F124,#N/A)</f>
        <v>#N/A</v>
      </c>
      <c r="P124" s="1" t="e">
        <f>IF(AND(Table1[[#This Row],[Frequency (GHz)]]&gt;=110,Table1[[#This Row],[Frequency (GHz)]]&lt;170),Plot_Data_Power!F124,#N/A)</f>
        <v>#N/A</v>
      </c>
      <c r="Q124" s="1" t="e">
        <f>IF(AND(Table1[[#This Row],[Frequency (GHz)]]&gt;=170,Table1[[#This Row],[Frequency (GHz)]]&lt;260),Plot_Data_Power!F124,#N/A)</f>
        <v>#N/A</v>
      </c>
      <c r="R124" s="1" t="e">
        <f>IF(Table1[[#This Row],[Frequency (GHz)]]&gt;=260,Plot_Data_Power!F124,#N/A)</f>
        <v>#N/A</v>
      </c>
      <c r="U124" s="1" t="e">
        <f>IF(Table1[[#This Row],[Frequency (GHz)]]&lt;20,Plot_Data_Power!G124,#N/A)</f>
        <v>#N/A</v>
      </c>
      <c r="V124" s="1">
        <f>IF(AND(Table1[[#This Row],[Frequency (GHz)]]&gt;=20,Table1[[#This Row],[Frequency (GHz)]]&lt;50),Plot_Data_Power!G124,#N/A)</f>
        <v>5517.285062776773</v>
      </c>
      <c r="W124" s="1" t="e">
        <f>IF(AND(Table1[[#This Row],[Frequency (GHz)]]&gt;=50,Table1[[#This Row],[Frequency (GHz)]]&lt;75),Plot_Data_Power!G124,#N/A)</f>
        <v>#N/A</v>
      </c>
      <c r="X124" s="1" t="e">
        <f>IF(AND(Table1[[#This Row],[Frequency (GHz)]]&gt;=75,Table1[[#This Row],[Frequency (GHz)]]&lt;110),Plot_Data_Power!G124,#N/A)</f>
        <v>#N/A</v>
      </c>
      <c r="Y124" s="1" t="e">
        <f>IF(AND(Table1[[#This Row],[Frequency (GHz)]]&gt;=110,Table1[[#This Row],[Frequency (GHz)]]&lt;170),Plot_Data_Power!G124,#N/A)</f>
        <v>#N/A</v>
      </c>
      <c r="Z124" s="1" t="e">
        <f>IF(AND(Table1[[#This Row],[Frequency (GHz)]]&gt;=170,Table1[[#This Row],[Frequency (GHz)]]&lt;260),Plot_Data_Power!G124,#N/A)</f>
        <v>#N/A</v>
      </c>
      <c r="AA124" s="1" t="e">
        <f>IF(Table1[[#This Row],[Frequency (GHz)]]&gt;=260,Plot_Data_Power!G124,#N/A)</f>
        <v>#N/A</v>
      </c>
      <c r="AD124" s="1" t="e">
        <f>IF(ISNUMBER(Table1[[#This Row],[Max Package Thermal Density (W/cm2)]]),Table1[[#This Row],[Max Package Thermal Density (W/cm2)]],#N/A)</f>
        <v>#N/A</v>
      </c>
      <c r="AE124" s="1" t="e">
        <f>IF(AND(ISNUMBER((Table1[[#This Row],[Max Package Thermal Density (W/cm2)]])),Table1[[#This Row],[Frequency (GHz)]]&lt;20),Table1[[#This Row],[Max Package Thermal Density (W/cm2)]],#N/A)</f>
        <v>#N/A</v>
      </c>
      <c r="AF124" s="1" t="e">
        <f>IF(AND(ISNUMBER(Table1[[#This Row],[Max Package Thermal Density (W/cm2)]]),Table1[[#This Row],[Frequency (GHz)]]&gt;=20,Table1[[#This Row],[Frequency (GHz)]]&lt;50),Table1[[#This Row],[Max Package Thermal Density (W/cm2)]],#N/A)</f>
        <v>#N/A</v>
      </c>
      <c r="AG124" s="1" t="e">
        <f>IF(AND(ISNUMBER(Table1[[#This Row],[Max Package Thermal Density (W/cm2)]]),Table1[[#This Row],[Frequency (GHz)]]&gt;=50,Table1[[#This Row],[Frequency (GHz)]]&lt;75),Table1[[#This Row],[Max Package Thermal Density (W/cm2)]],#N/A)</f>
        <v>#N/A</v>
      </c>
      <c r="AH124" s="1" t="e">
        <f>IF(AND(ISNUMBER(Table1[[#This Row],[Max Package Thermal Density (W/cm2)]]),Table1[[#This Row],[Frequency (GHz)]]&gt;=75,Table1[[#This Row],[Frequency (GHz)]]&lt;110),Table1[[#This Row],[Max Package Thermal Density (W/cm2)]],#N/A)</f>
        <v>#N/A</v>
      </c>
      <c r="AI124" s="1" t="e">
        <f>IF(AND(ISNUMBER(Table1[[#This Row],[Max Package Thermal Density (W/cm2)]]),Table1[[#This Row],[Frequency (GHz)]]&gt;=110,Table1[[#This Row],[Frequency (GHz)]]&lt;170),Table1[[#This Row],[Max Package Thermal Density (W/cm2)]],#N/A)</f>
        <v>#N/A</v>
      </c>
      <c r="AJ124" s="1" t="e">
        <f>IF(AND(ISNUMBER(Table1[[#This Row],[Max Package Thermal Density (W/cm2)]]),Table1[[#This Row],[Frequency (GHz)]]&gt;=170,Table1[[#This Row],[Frequency (GHz)]]&lt;260),Table1[[#This Row],[Max Package Thermal Density (W/cm2)]],#N/A)</f>
        <v>#N/A</v>
      </c>
      <c r="AK124" s="1" t="e">
        <f>IF(AND(ISNUMBER(Table1[[#This Row],[Max Package Thermal Density (W/cm2)]]),Table1[[#This Row],[Frequency (GHz)]]&gt;=260),Table1[[#This Row],[Max Package Thermal Density (W/cm2)]],#N/A)</f>
        <v>#N/A</v>
      </c>
      <c r="AN124" s="1">
        <f>IF(ISNUMBER(Table1[[#This Row],[Max Chip Thermal Density (W/cm2)]]),Table1[[#This Row],[Max Chip Thermal Density (W/cm2)]],#N/A)</f>
        <v>4.875</v>
      </c>
      <c r="AO124" s="1" t="e">
        <f>IF(AND(ISNUMBER((Table1[[#This Row],[Max Chip Thermal Density (W/cm2)]])),Table1[[#This Row],[Frequency (GHz)]]&lt;20),Table1[[#This Row],[Max Chip Thermal Density (W/cm2)]],#N/A)</f>
        <v>#N/A</v>
      </c>
      <c r="AP124" s="1">
        <f>IF(AND(ISNUMBER(Table1[[#This Row],[Max Chip Thermal Density (W/cm2)]]),Table1[[#This Row],[Frequency (GHz)]]&gt;=20,Table1[[#This Row],[Frequency (GHz)]]&lt;50),Table1[[#This Row],[Max Chip Thermal Density (W/cm2)]],#N/A)</f>
        <v>4.875</v>
      </c>
      <c r="AQ124" s="1" t="e">
        <f>IF(AND(ISNUMBER(Table1[[#This Row],[Max Chip Thermal Density (W/cm2)]]),Table1[[#This Row],[Frequency (GHz)]]&gt;=50,Table1[[#This Row],[Frequency (GHz)]]&lt;75),Table1[[#This Row],[Max Chip Thermal Density (W/cm2)]],#N/A)</f>
        <v>#N/A</v>
      </c>
      <c r="AR124" s="1" t="e">
        <f>IF(AND(ISNUMBER(Table1[[#This Row],[Max Chip Thermal Density (W/cm2)]]),Table1[[#This Row],[Frequency (GHz)]]&gt;=75,Table1[[#This Row],[Frequency (GHz)]]&lt;110),Table1[[#This Row],[Max Chip Thermal Density (W/cm2)]],#N/A)</f>
        <v>#N/A</v>
      </c>
      <c r="AS124" s="1" t="e">
        <f>IF(AND(ISNUMBER(Table1[[#This Row],[Max Chip Thermal Density (W/cm2)]]),Table1[[#This Row],[Frequency (GHz)]]&gt;=110,Table1[[#This Row],[Frequency (GHz)]]&lt;170),Table1[[#This Row],[Max Chip Thermal Density (W/cm2)]],#N/A)</f>
        <v>#N/A</v>
      </c>
      <c r="AT124" s="1" t="e">
        <f>IF(AND(ISNUMBER(Table1[[#This Row],[Max Chip Thermal Density (W/cm2)]]),Table1[[#This Row],[Frequency (GHz)]]&gt;=170,Table1[[#This Row],[Frequency (GHz)]]&lt;260),Table1[[#This Row],[Max Chip Thermal Density (W/cm2)]],#N/A)</f>
        <v>#N/A</v>
      </c>
      <c r="AU124" s="1" t="e">
        <f>IF(AND(ISNUMBER(Table1[[#This Row],[Max Chip Thermal Density (W/cm2)]]),Table1[[#This Row],[Frequency (GHz)]]&gt;=260),Table1[[#This Row],[Max Chip Thermal Density (W/cm2)]],#N/A)</f>
        <v>#N/A</v>
      </c>
    </row>
    <row r="125" spans="1:47" x14ac:dyDescent="0.2">
      <c r="A125" s="25" t="e">
        <f>IF(ISNUMBER(Table1[[#This Row],[Total Pout/Prad (dBm)]]),Table1[[#This Row],[Total Pout/Prad (dBm)]],#N/A)</f>
        <v>#N/A</v>
      </c>
      <c r="B125" s="1" t="e">
        <f>IF(ISNUMBER(Table1[[#This Row],[Total Pout/Prad (dBm)]]),Table1[[#This Row],[Total '# of TX Elements]],#N/A)</f>
        <v>#N/A</v>
      </c>
      <c r="C125" s="1" t="e">
        <f>IF(ISNUMBER(Table1[[#This Row],[TX EIRP (dBm)]]),Table1[[#This Row],[TX EIRP (dBm)]],#N/A)</f>
        <v>#N/A</v>
      </c>
      <c r="D125" s="1" t="str">
        <f>Table1[[#This Row],[TX Pdc (W)]]</f>
        <v>N/A</v>
      </c>
      <c r="E125" s="1">
        <f>IF(ISNUMBER(Table1[[#This Row],[Array Aperture Size (cm2)]]),Table1[[#This Row],[Array Aperture Size (cm2)]],IF(Table1[[#This Row],[Antenna on (None, Chip, AiP, PCB)]]="Chip",Table1[[#This Row],[Chip Core Size - X (mm)]]*Table1[[#This Row],[Chip Core Size -Y (mm)]]/100*Table1[[#This Row],['# of IC per Tile]]*Table1[[#This Row],['# of Array Tile]],#N/A))</f>
        <v>6.72</v>
      </c>
      <c r="F125" s="1" t="e">
        <f t="shared" si="2"/>
        <v>#N/A</v>
      </c>
      <c r="G125" s="1" t="e">
        <f t="shared" si="3"/>
        <v>#N/A</v>
      </c>
      <c r="L125" s="1" t="e">
        <f>IF(Table1[[#This Row],[Frequency (GHz)]]&lt;20,Plot_Data_Power!F125,#N/A)</f>
        <v>#N/A</v>
      </c>
      <c r="M125" s="1" t="e">
        <f>IF(AND(Table1[[#This Row],[Frequency (GHz)]]&gt;=20,Table1[[#This Row],[Frequency (GHz)]]&lt;50),Plot_Data_Power!F125,#N/A)</f>
        <v>#N/A</v>
      </c>
      <c r="N125" s="1" t="e">
        <f>IF(AND(Table1[[#This Row],[Frequency (GHz)]]&gt;=50,Table1[[#This Row],[Frequency (GHz)]]&lt;75),Plot_Data_Power!F125,#N/A)</f>
        <v>#N/A</v>
      </c>
      <c r="O125" s="1" t="e">
        <f>IF(AND(Table1[[#This Row],[Frequency (GHz)]]&gt;=75,Table1[[#This Row],[Frequency (GHz)]]&lt;110),Plot_Data_Power!F125,#N/A)</f>
        <v>#N/A</v>
      </c>
      <c r="P125" s="1" t="e">
        <f>IF(AND(Table1[[#This Row],[Frequency (GHz)]]&gt;=110,Table1[[#This Row],[Frequency (GHz)]]&lt;170),Plot_Data_Power!F125,#N/A)</f>
        <v>#N/A</v>
      </c>
      <c r="Q125" s="1" t="e">
        <f>IF(AND(Table1[[#This Row],[Frequency (GHz)]]&gt;=170,Table1[[#This Row],[Frequency (GHz)]]&lt;260),Plot_Data_Power!F125,#N/A)</f>
        <v>#N/A</v>
      </c>
      <c r="R125" s="1" t="e">
        <f>IF(Table1[[#This Row],[Frequency (GHz)]]&gt;=260,Plot_Data_Power!F125,#N/A)</f>
        <v>#N/A</v>
      </c>
      <c r="U125" s="1" t="e">
        <f>IF(Table1[[#This Row],[Frequency (GHz)]]&lt;20,Plot_Data_Power!G125,#N/A)</f>
        <v>#N/A</v>
      </c>
      <c r="V125" s="1" t="e">
        <f>IF(AND(Table1[[#This Row],[Frequency (GHz)]]&gt;=20,Table1[[#This Row],[Frequency (GHz)]]&lt;50),Plot_Data_Power!G125,#N/A)</f>
        <v>#N/A</v>
      </c>
      <c r="W125" s="1" t="e">
        <f>IF(AND(Table1[[#This Row],[Frequency (GHz)]]&gt;=50,Table1[[#This Row],[Frequency (GHz)]]&lt;75),Plot_Data_Power!G125,#N/A)</f>
        <v>#N/A</v>
      </c>
      <c r="X125" s="1" t="e">
        <f>IF(AND(Table1[[#This Row],[Frequency (GHz)]]&gt;=75,Table1[[#This Row],[Frequency (GHz)]]&lt;110),Plot_Data_Power!G125,#N/A)</f>
        <v>#N/A</v>
      </c>
      <c r="Y125" s="1" t="e">
        <f>IF(AND(Table1[[#This Row],[Frequency (GHz)]]&gt;=110,Table1[[#This Row],[Frequency (GHz)]]&lt;170),Plot_Data_Power!G125,#N/A)</f>
        <v>#N/A</v>
      </c>
      <c r="Z125" s="1" t="e">
        <f>IF(AND(Table1[[#This Row],[Frequency (GHz)]]&gt;=170,Table1[[#This Row],[Frequency (GHz)]]&lt;260),Plot_Data_Power!G125,#N/A)</f>
        <v>#N/A</v>
      </c>
      <c r="AA125" s="1" t="e">
        <f>IF(Table1[[#This Row],[Frequency (GHz)]]&gt;=260,Plot_Data_Power!G125,#N/A)</f>
        <v>#N/A</v>
      </c>
      <c r="AD125" s="1">
        <f>IF(ISNUMBER(Table1[[#This Row],[Max Package Thermal Density (W/cm2)]]),Table1[[#This Row],[Max Package Thermal Density (W/cm2)]],#N/A)</f>
        <v>4.6019047619047617</v>
      </c>
      <c r="AE125" s="1" t="e">
        <f>IF(AND(ISNUMBER((Table1[[#This Row],[Max Package Thermal Density (W/cm2)]])),Table1[[#This Row],[Frequency (GHz)]]&lt;20),Table1[[#This Row],[Max Package Thermal Density (W/cm2)]],#N/A)</f>
        <v>#N/A</v>
      </c>
      <c r="AF125" s="1">
        <f>IF(AND(ISNUMBER(Table1[[#This Row],[Max Package Thermal Density (W/cm2)]]),Table1[[#This Row],[Frequency (GHz)]]&gt;=20,Table1[[#This Row],[Frequency (GHz)]]&lt;50),Table1[[#This Row],[Max Package Thermal Density (W/cm2)]],#N/A)</f>
        <v>4.6019047619047617</v>
      </c>
      <c r="AG125" s="1" t="e">
        <f>IF(AND(ISNUMBER(Table1[[#This Row],[Max Package Thermal Density (W/cm2)]]),Table1[[#This Row],[Frequency (GHz)]]&gt;=50,Table1[[#This Row],[Frequency (GHz)]]&lt;75),Table1[[#This Row],[Max Package Thermal Density (W/cm2)]],#N/A)</f>
        <v>#N/A</v>
      </c>
      <c r="AH125" s="1" t="e">
        <f>IF(AND(ISNUMBER(Table1[[#This Row],[Max Package Thermal Density (W/cm2)]]),Table1[[#This Row],[Frequency (GHz)]]&gt;=75,Table1[[#This Row],[Frequency (GHz)]]&lt;110),Table1[[#This Row],[Max Package Thermal Density (W/cm2)]],#N/A)</f>
        <v>#N/A</v>
      </c>
      <c r="AI125" s="1" t="e">
        <f>IF(AND(ISNUMBER(Table1[[#This Row],[Max Package Thermal Density (W/cm2)]]),Table1[[#This Row],[Frequency (GHz)]]&gt;=110,Table1[[#This Row],[Frequency (GHz)]]&lt;170),Table1[[#This Row],[Max Package Thermal Density (W/cm2)]],#N/A)</f>
        <v>#N/A</v>
      </c>
      <c r="AJ125" s="1" t="e">
        <f>IF(AND(ISNUMBER(Table1[[#This Row],[Max Package Thermal Density (W/cm2)]]),Table1[[#This Row],[Frequency (GHz)]]&gt;=170,Table1[[#This Row],[Frequency (GHz)]]&lt;260),Table1[[#This Row],[Max Package Thermal Density (W/cm2)]],#N/A)</f>
        <v>#N/A</v>
      </c>
      <c r="AK125" s="1" t="e">
        <f>IF(AND(ISNUMBER(Table1[[#This Row],[Max Package Thermal Density (W/cm2)]]),Table1[[#This Row],[Frequency (GHz)]]&gt;=260),Table1[[#This Row],[Max Package Thermal Density (W/cm2)]],#N/A)</f>
        <v>#N/A</v>
      </c>
      <c r="AN125" s="1">
        <f>IF(ISNUMBER(Table1[[#This Row],[Max Chip Thermal Density (W/cm2)]]),Table1[[#This Row],[Max Chip Thermal Density (W/cm2)]],#N/A)</f>
        <v>0.21192982456140347</v>
      </c>
      <c r="AO125" s="1" t="e">
        <f>IF(AND(ISNUMBER((Table1[[#This Row],[Max Chip Thermal Density (W/cm2)]])),Table1[[#This Row],[Frequency (GHz)]]&lt;20),Table1[[#This Row],[Max Chip Thermal Density (W/cm2)]],#N/A)</f>
        <v>#N/A</v>
      </c>
      <c r="AP125" s="1">
        <f>IF(AND(ISNUMBER(Table1[[#This Row],[Max Chip Thermal Density (W/cm2)]]),Table1[[#This Row],[Frequency (GHz)]]&gt;=20,Table1[[#This Row],[Frequency (GHz)]]&lt;50),Table1[[#This Row],[Max Chip Thermal Density (W/cm2)]],#N/A)</f>
        <v>0.21192982456140347</v>
      </c>
      <c r="AQ125" s="1" t="e">
        <f>IF(AND(ISNUMBER(Table1[[#This Row],[Max Chip Thermal Density (W/cm2)]]),Table1[[#This Row],[Frequency (GHz)]]&gt;=50,Table1[[#This Row],[Frequency (GHz)]]&lt;75),Table1[[#This Row],[Max Chip Thermal Density (W/cm2)]],#N/A)</f>
        <v>#N/A</v>
      </c>
      <c r="AR125" s="1" t="e">
        <f>IF(AND(ISNUMBER(Table1[[#This Row],[Max Chip Thermal Density (W/cm2)]]),Table1[[#This Row],[Frequency (GHz)]]&gt;=75,Table1[[#This Row],[Frequency (GHz)]]&lt;110),Table1[[#This Row],[Max Chip Thermal Density (W/cm2)]],#N/A)</f>
        <v>#N/A</v>
      </c>
      <c r="AS125" s="1" t="e">
        <f>IF(AND(ISNUMBER(Table1[[#This Row],[Max Chip Thermal Density (W/cm2)]]),Table1[[#This Row],[Frequency (GHz)]]&gt;=110,Table1[[#This Row],[Frequency (GHz)]]&lt;170),Table1[[#This Row],[Max Chip Thermal Density (W/cm2)]],#N/A)</f>
        <v>#N/A</v>
      </c>
      <c r="AT125" s="1" t="e">
        <f>IF(AND(ISNUMBER(Table1[[#This Row],[Max Chip Thermal Density (W/cm2)]]),Table1[[#This Row],[Frequency (GHz)]]&gt;=170,Table1[[#This Row],[Frequency (GHz)]]&lt;260),Table1[[#This Row],[Max Chip Thermal Density (W/cm2)]],#N/A)</f>
        <v>#N/A</v>
      </c>
      <c r="AU125" s="1" t="e">
        <f>IF(AND(ISNUMBER(Table1[[#This Row],[Max Chip Thermal Density (W/cm2)]]),Table1[[#This Row],[Frequency (GHz)]]&gt;=260),Table1[[#This Row],[Max Chip Thermal Density (W/cm2)]],#N/A)</f>
        <v>#N/A</v>
      </c>
    </row>
    <row r="126" spans="1:47" x14ac:dyDescent="0.2">
      <c r="A126" s="25">
        <f>IF(ISNUMBER(Table1[[#This Row],[Total Pout/Prad (dBm)]]),Table1[[#This Row],[Total Pout/Prad (dBm)]],#N/A)</f>
        <v>23.54119982655925</v>
      </c>
      <c r="B126" s="1">
        <f>IF(ISNUMBER(Table1[[#This Row],[Total Pout/Prad (dBm)]]),Table1[[#This Row],[Total '# of TX Elements]],#N/A)</f>
        <v>16</v>
      </c>
      <c r="C126" s="1">
        <f>IF(ISNUMBER(Table1[[#This Row],[TX EIRP (dBm)]]),Table1[[#This Row],[TX EIRP (dBm)]],#N/A)</f>
        <v>16.2</v>
      </c>
      <c r="D126" s="1">
        <f>Table1[[#This Row],[TX Pdc (W)]]</f>
        <v>3.84</v>
      </c>
      <c r="E126" s="1">
        <f>IF(ISNUMBER(Table1[[#This Row],[Array Aperture Size (cm2)]]),Table1[[#This Row],[Array Aperture Size (cm2)]],IF(Table1[[#This Row],[Antenna on (None, Chip, AiP, PCB)]]="Chip",Table1[[#This Row],[Chip Core Size - X (mm)]]*Table1[[#This Row],[Chip Core Size -Y (mm)]]/100*Table1[[#This Row],['# of IC per Tile]]*Table1[[#This Row],['# of Array Tile]],#N/A))</f>
        <v>13.831999999999999</v>
      </c>
      <c r="F126" s="1">
        <f t="shared" si="2"/>
        <v>5.8855731025948144</v>
      </c>
      <c r="G126" s="1">
        <f t="shared" si="3"/>
        <v>1.0855973527873319</v>
      </c>
      <c r="L126" s="1">
        <f>IF(Table1[[#This Row],[Frequency (GHz)]]&lt;20,Plot_Data_Power!F126,#N/A)</f>
        <v>5.8855731025948144</v>
      </c>
      <c r="M126" s="1" t="e">
        <f>IF(AND(Table1[[#This Row],[Frequency (GHz)]]&gt;=20,Table1[[#This Row],[Frequency (GHz)]]&lt;50),Plot_Data_Power!F126,#N/A)</f>
        <v>#N/A</v>
      </c>
      <c r="N126" s="1" t="e">
        <f>IF(AND(Table1[[#This Row],[Frequency (GHz)]]&gt;=50,Table1[[#This Row],[Frequency (GHz)]]&lt;75),Plot_Data_Power!F126,#N/A)</f>
        <v>#N/A</v>
      </c>
      <c r="O126" s="1" t="e">
        <f>IF(AND(Table1[[#This Row],[Frequency (GHz)]]&gt;=75,Table1[[#This Row],[Frequency (GHz)]]&lt;110),Plot_Data_Power!F126,#N/A)</f>
        <v>#N/A</v>
      </c>
      <c r="P126" s="1" t="e">
        <f>IF(AND(Table1[[#This Row],[Frequency (GHz)]]&gt;=110,Table1[[#This Row],[Frequency (GHz)]]&lt;170),Plot_Data_Power!F126,#N/A)</f>
        <v>#N/A</v>
      </c>
      <c r="Q126" s="1" t="e">
        <f>IF(AND(Table1[[#This Row],[Frequency (GHz)]]&gt;=170,Table1[[#This Row],[Frequency (GHz)]]&lt;260),Plot_Data_Power!F126,#N/A)</f>
        <v>#N/A</v>
      </c>
      <c r="R126" s="1" t="e">
        <f>IF(Table1[[#This Row],[Frequency (GHz)]]&gt;=260,Plot_Data_Power!F126,#N/A)</f>
        <v>#N/A</v>
      </c>
      <c r="U126" s="1">
        <f>IF(Table1[[#This Row],[Frequency (GHz)]]&lt;20,Plot_Data_Power!G126,#N/A)</f>
        <v>1.0855973527873319</v>
      </c>
      <c r="V126" s="1" t="e">
        <f>IF(AND(Table1[[#This Row],[Frequency (GHz)]]&gt;=20,Table1[[#This Row],[Frequency (GHz)]]&lt;50),Plot_Data_Power!G126,#N/A)</f>
        <v>#N/A</v>
      </c>
      <c r="W126" s="1" t="e">
        <f>IF(AND(Table1[[#This Row],[Frequency (GHz)]]&gt;=50,Table1[[#This Row],[Frequency (GHz)]]&lt;75),Plot_Data_Power!G126,#N/A)</f>
        <v>#N/A</v>
      </c>
      <c r="X126" s="1" t="e">
        <f>IF(AND(Table1[[#This Row],[Frequency (GHz)]]&gt;=75,Table1[[#This Row],[Frequency (GHz)]]&lt;110),Plot_Data_Power!G126,#N/A)</f>
        <v>#N/A</v>
      </c>
      <c r="Y126" s="1" t="e">
        <f>IF(AND(Table1[[#This Row],[Frequency (GHz)]]&gt;=110,Table1[[#This Row],[Frequency (GHz)]]&lt;170),Plot_Data_Power!G126,#N/A)</f>
        <v>#N/A</v>
      </c>
      <c r="Z126" s="1" t="e">
        <f>IF(AND(Table1[[#This Row],[Frequency (GHz)]]&gt;=170,Table1[[#This Row],[Frequency (GHz)]]&lt;260),Plot_Data_Power!G126,#N/A)</f>
        <v>#N/A</v>
      </c>
      <c r="AA126" s="1" t="e">
        <f>IF(Table1[[#This Row],[Frequency (GHz)]]&gt;=260,Plot_Data_Power!G126,#N/A)</f>
        <v>#N/A</v>
      </c>
      <c r="AD126" s="1">
        <f>IF(ISNUMBER(Table1[[#This Row],[Max Package Thermal Density (W/cm2)]]),Table1[[#This Row],[Max Package Thermal Density (W/cm2)]],#N/A)</f>
        <v>0.2776171197223829</v>
      </c>
      <c r="AE126" s="1">
        <f>IF(AND(ISNUMBER((Table1[[#This Row],[Max Package Thermal Density (W/cm2)]])),Table1[[#This Row],[Frequency (GHz)]]&lt;20),Table1[[#This Row],[Max Package Thermal Density (W/cm2)]],#N/A)</f>
        <v>0.2776171197223829</v>
      </c>
      <c r="AF126" s="1" t="e">
        <f>IF(AND(ISNUMBER(Table1[[#This Row],[Max Package Thermal Density (W/cm2)]]),Table1[[#This Row],[Frequency (GHz)]]&gt;=20,Table1[[#This Row],[Frequency (GHz)]]&lt;50),Table1[[#This Row],[Max Package Thermal Density (W/cm2)]],#N/A)</f>
        <v>#N/A</v>
      </c>
      <c r="AG126" s="1" t="e">
        <f>IF(AND(ISNUMBER(Table1[[#This Row],[Max Package Thermal Density (W/cm2)]]),Table1[[#This Row],[Frequency (GHz)]]&gt;=50,Table1[[#This Row],[Frequency (GHz)]]&lt;75),Table1[[#This Row],[Max Package Thermal Density (W/cm2)]],#N/A)</f>
        <v>#N/A</v>
      </c>
      <c r="AH126" s="1" t="e">
        <f>IF(AND(ISNUMBER(Table1[[#This Row],[Max Package Thermal Density (W/cm2)]]),Table1[[#This Row],[Frequency (GHz)]]&gt;=75,Table1[[#This Row],[Frequency (GHz)]]&lt;110),Table1[[#This Row],[Max Package Thermal Density (W/cm2)]],#N/A)</f>
        <v>#N/A</v>
      </c>
      <c r="AI126" s="1" t="e">
        <f>IF(AND(ISNUMBER(Table1[[#This Row],[Max Package Thermal Density (W/cm2)]]),Table1[[#This Row],[Frequency (GHz)]]&gt;=110,Table1[[#This Row],[Frequency (GHz)]]&lt;170),Table1[[#This Row],[Max Package Thermal Density (W/cm2)]],#N/A)</f>
        <v>#N/A</v>
      </c>
      <c r="AJ126" s="1" t="e">
        <f>IF(AND(ISNUMBER(Table1[[#This Row],[Max Package Thermal Density (W/cm2)]]),Table1[[#This Row],[Frequency (GHz)]]&gt;=170,Table1[[#This Row],[Frequency (GHz)]]&lt;260),Table1[[#This Row],[Max Package Thermal Density (W/cm2)]],#N/A)</f>
        <v>#N/A</v>
      </c>
      <c r="AK126" s="1" t="e">
        <f>IF(AND(ISNUMBER(Table1[[#This Row],[Max Package Thermal Density (W/cm2)]]),Table1[[#This Row],[Frequency (GHz)]]&gt;=260),Table1[[#This Row],[Max Package Thermal Density (W/cm2)]],#N/A)</f>
        <v>#N/A</v>
      </c>
      <c r="AN126" s="1">
        <f>IF(ISNUMBER(Table1[[#This Row],[Max Chip Thermal Density (W/cm2)]]),Table1[[#This Row],[Max Chip Thermal Density (W/cm2)]],#N/A)</f>
        <v>10.474631751227495</v>
      </c>
      <c r="AO126" s="1">
        <f>IF(AND(ISNUMBER((Table1[[#This Row],[Max Chip Thermal Density (W/cm2)]])),Table1[[#This Row],[Frequency (GHz)]]&lt;20),Table1[[#This Row],[Max Chip Thermal Density (W/cm2)]],#N/A)</f>
        <v>10.474631751227495</v>
      </c>
      <c r="AP126" s="1" t="e">
        <f>IF(AND(ISNUMBER(Table1[[#This Row],[Max Chip Thermal Density (W/cm2)]]),Table1[[#This Row],[Frequency (GHz)]]&gt;=20,Table1[[#This Row],[Frequency (GHz)]]&lt;50),Table1[[#This Row],[Max Chip Thermal Density (W/cm2)]],#N/A)</f>
        <v>#N/A</v>
      </c>
      <c r="AQ126" s="1" t="e">
        <f>IF(AND(ISNUMBER(Table1[[#This Row],[Max Chip Thermal Density (W/cm2)]]),Table1[[#This Row],[Frequency (GHz)]]&gt;=50,Table1[[#This Row],[Frequency (GHz)]]&lt;75),Table1[[#This Row],[Max Chip Thermal Density (W/cm2)]],#N/A)</f>
        <v>#N/A</v>
      </c>
      <c r="AR126" s="1" t="e">
        <f>IF(AND(ISNUMBER(Table1[[#This Row],[Max Chip Thermal Density (W/cm2)]]),Table1[[#This Row],[Frequency (GHz)]]&gt;=75,Table1[[#This Row],[Frequency (GHz)]]&lt;110),Table1[[#This Row],[Max Chip Thermal Density (W/cm2)]],#N/A)</f>
        <v>#N/A</v>
      </c>
      <c r="AS126" s="1" t="e">
        <f>IF(AND(ISNUMBER(Table1[[#This Row],[Max Chip Thermal Density (W/cm2)]]),Table1[[#This Row],[Frequency (GHz)]]&gt;=110,Table1[[#This Row],[Frequency (GHz)]]&lt;170),Table1[[#This Row],[Max Chip Thermal Density (W/cm2)]],#N/A)</f>
        <v>#N/A</v>
      </c>
      <c r="AT126" s="1" t="e">
        <f>IF(AND(ISNUMBER(Table1[[#This Row],[Max Chip Thermal Density (W/cm2)]]),Table1[[#This Row],[Frequency (GHz)]]&gt;=170,Table1[[#This Row],[Frequency (GHz)]]&lt;260),Table1[[#This Row],[Max Chip Thermal Density (W/cm2)]],#N/A)</f>
        <v>#N/A</v>
      </c>
      <c r="AU126" s="1" t="e">
        <f>IF(AND(ISNUMBER(Table1[[#This Row],[Max Chip Thermal Density (W/cm2)]]),Table1[[#This Row],[Frequency (GHz)]]&gt;=260),Table1[[#This Row],[Max Chip Thermal Density (W/cm2)]],#N/A)</f>
        <v>#N/A</v>
      </c>
    </row>
    <row r="127" spans="1:47" x14ac:dyDescent="0.2">
      <c r="A127" s="25">
        <f>IF(ISNUMBER(Table1[[#This Row],[Total Pout/Prad (dBm)]]),Table1[[#This Row],[Total Pout/Prad (dBm)]],#N/A)</f>
        <v>22.141199826559248</v>
      </c>
      <c r="B127" s="1">
        <f>IF(ISNUMBER(Table1[[#This Row],[Total Pout/Prad (dBm)]]),Table1[[#This Row],[Total '# of TX Elements]],#N/A)</f>
        <v>16</v>
      </c>
      <c r="C127" s="1">
        <f>IF(ISNUMBER(Table1[[#This Row],[TX EIRP (dBm)]]),Table1[[#This Row],[TX EIRP (dBm)]],#N/A)</f>
        <v>38.5</v>
      </c>
      <c r="D127" s="1">
        <f>Table1[[#This Row],[TX Pdc (W)]]</f>
        <v>3.84</v>
      </c>
      <c r="E127" s="1">
        <f>IF(ISNUMBER(Table1[[#This Row],[Array Aperture Size (cm2)]]),Table1[[#This Row],[Array Aperture Size (cm2)]],IF(Table1[[#This Row],[Antenna on (None, Chip, AiP, PCB)]]="Chip",Table1[[#This Row],[Chip Core Size - X (mm)]]*Table1[[#This Row],[Chip Core Size -Y (mm)]]/100*Table1[[#This Row],['# of IC per Tile]]*Table1[[#This Row],['# of Array Tile]],#N/A))</f>
        <v>13.831999999999999</v>
      </c>
      <c r="F127" s="1">
        <f t="shared" si="2"/>
        <v>4.2637208011698107</v>
      </c>
      <c r="G127" s="1">
        <f t="shared" si="3"/>
        <v>184.36088135003604</v>
      </c>
      <c r="L127" s="1" t="e">
        <f>IF(Table1[[#This Row],[Frequency (GHz)]]&lt;20,Plot_Data_Power!F127,#N/A)</f>
        <v>#N/A</v>
      </c>
      <c r="M127" s="1">
        <f>IF(AND(Table1[[#This Row],[Frequency (GHz)]]&gt;=20,Table1[[#This Row],[Frequency (GHz)]]&lt;50),Plot_Data_Power!F127,#N/A)</f>
        <v>4.2637208011698107</v>
      </c>
      <c r="N127" s="1" t="e">
        <f>IF(AND(Table1[[#This Row],[Frequency (GHz)]]&gt;=50,Table1[[#This Row],[Frequency (GHz)]]&lt;75),Plot_Data_Power!F127,#N/A)</f>
        <v>#N/A</v>
      </c>
      <c r="O127" s="1" t="e">
        <f>IF(AND(Table1[[#This Row],[Frequency (GHz)]]&gt;=75,Table1[[#This Row],[Frequency (GHz)]]&lt;110),Plot_Data_Power!F127,#N/A)</f>
        <v>#N/A</v>
      </c>
      <c r="P127" s="1" t="e">
        <f>IF(AND(Table1[[#This Row],[Frequency (GHz)]]&gt;=110,Table1[[#This Row],[Frequency (GHz)]]&lt;170),Plot_Data_Power!F127,#N/A)</f>
        <v>#N/A</v>
      </c>
      <c r="Q127" s="1" t="e">
        <f>IF(AND(Table1[[#This Row],[Frequency (GHz)]]&gt;=170,Table1[[#This Row],[Frequency (GHz)]]&lt;260),Plot_Data_Power!F127,#N/A)</f>
        <v>#N/A</v>
      </c>
      <c r="R127" s="1" t="e">
        <f>IF(Table1[[#This Row],[Frequency (GHz)]]&gt;=260,Plot_Data_Power!F127,#N/A)</f>
        <v>#N/A</v>
      </c>
      <c r="U127" s="1" t="e">
        <f>IF(Table1[[#This Row],[Frequency (GHz)]]&lt;20,Plot_Data_Power!G127,#N/A)</f>
        <v>#N/A</v>
      </c>
      <c r="V127" s="1">
        <f>IF(AND(Table1[[#This Row],[Frequency (GHz)]]&gt;=20,Table1[[#This Row],[Frequency (GHz)]]&lt;50),Plot_Data_Power!G127,#N/A)</f>
        <v>184.36088135003604</v>
      </c>
      <c r="W127" s="1" t="e">
        <f>IF(AND(Table1[[#This Row],[Frequency (GHz)]]&gt;=50,Table1[[#This Row],[Frequency (GHz)]]&lt;75),Plot_Data_Power!G127,#N/A)</f>
        <v>#N/A</v>
      </c>
      <c r="X127" s="1" t="e">
        <f>IF(AND(Table1[[#This Row],[Frequency (GHz)]]&gt;=75,Table1[[#This Row],[Frequency (GHz)]]&lt;110),Plot_Data_Power!G127,#N/A)</f>
        <v>#N/A</v>
      </c>
      <c r="Y127" s="1" t="e">
        <f>IF(AND(Table1[[#This Row],[Frequency (GHz)]]&gt;=110,Table1[[#This Row],[Frequency (GHz)]]&lt;170),Plot_Data_Power!G127,#N/A)</f>
        <v>#N/A</v>
      </c>
      <c r="Z127" s="1" t="e">
        <f>IF(AND(Table1[[#This Row],[Frequency (GHz)]]&gt;=170,Table1[[#This Row],[Frequency (GHz)]]&lt;260),Plot_Data_Power!G127,#N/A)</f>
        <v>#N/A</v>
      </c>
      <c r="AA127" s="1" t="e">
        <f>IF(Table1[[#This Row],[Frequency (GHz)]]&gt;=260,Plot_Data_Power!G127,#N/A)</f>
        <v>#N/A</v>
      </c>
      <c r="AD127" s="1">
        <f>IF(ISNUMBER(Table1[[#This Row],[Max Package Thermal Density (W/cm2)]]),Table1[[#This Row],[Max Package Thermal Density (W/cm2)]],#N/A)</f>
        <v>0.2776171197223829</v>
      </c>
      <c r="AE127" s="1" t="e">
        <f>IF(AND(ISNUMBER((Table1[[#This Row],[Max Package Thermal Density (W/cm2)]])),Table1[[#This Row],[Frequency (GHz)]]&lt;20),Table1[[#This Row],[Max Package Thermal Density (W/cm2)]],#N/A)</f>
        <v>#N/A</v>
      </c>
      <c r="AF127" s="1">
        <f>IF(AND(ISNUMBER(Table1[[#This Row],[Max Package Thermal Density (W/cm2)]]),Table1[[#This Row],[Frequency (GHz)]]&gt;=20,Table1[[#This Row],[Frequency (GHz)]]&lt;50),Table1[[#This Row],[Max Package Thermal Density (W/cm2)]],#N/A)</f>
        <v>0.2776171197223829</v>
      </c>
      <c r="AG127" s="1" t="e">
        <f>IF(AND(ISNUMBER(Table1[[#This Row],[Max Package Thermal Density (W/cm2)]]),Table1[[#This Row],[Frequency (GHz)]]&gt;=50,Table1[[#This Row],[Frequency (GHz)]]&lt;75),Table1[[#This Row],[Max Package Thermal Density (W/cm2)]],#N/A)</f>
        <v>#N/A</v>
      </c>
      <c r="AH127" s="1" t="e">
        <f>IF(AND(ISNUMBER(Table1[[#This Row],[Max Package Thermal Density (W/cm2)]]),Table1[[#This Row],[Frequency (GHz)]]&gt;=75,Table1[[#This Row],[Frequency (GHz)]]&lt;110),Table1[[#This Row],[Max Package Thermal Density (W/cm2)]],#N/A)</f>
        <v>#N/A</v>
      </c>
      <c r="AI127" s="1" t="e">
        <f>IF(AND(ISNUMBER(Table1[[#This Row],[Max Package Thermal Density (W/cm2)]]),Table1[[#This Row],[Frequency (GHz)]]&gt;=110,Table1[[#This Row],[Frequency (GHz)]]&lt;170),Table1[[#This Row],[Max Package Thermal Density (W/cm2)]],#N/A)</f>
        <v>#N/A</v>
      </c>
      <c r="AJ127" s="1" t="e">
        <f>IF(AND(ISNUMBER(Table1[[#This Row],[Max Package Thermal Density (W/cm2)]]),Table1[[#This Row],[Frequency (GHz)]]&gt;=170,Table1[[#This Row],[Frequency (GHz)]]&lt;260),Table1[[#This Row],[Max Package Thermal Density (W/cm2)]],#N/A)</f>
        <v>#N/A</v>
      </c>
      <c r="AK127" s="1" t="e">
        <f>IF(AND(ISNUMBER(Table1[[#This Row],[Max Package Thermal Density (W/cm2)]]),Table1[[#This Row],[Frequency (GHz)]]&gt;=260),Table1[[#This Row],[Max Package Thermal Density (W/cm2)]],#N/A)</f>
        <v>#N/A</v>
      </c>
      <c r="AN127" s="1">
        <f>IF(ISNUMBER(Table1[[#This Row],[Max Chip Thermal Density (W/cm2)]]),Table1[[#This Row],[Max Chip Thermal Density (W/cm2)]],#N/A)</f>
        <v>10.474631751227495</v>
      </c>
      <c r="AO127" s="1" t="e">
        <f>IF(AND(ISNUMBER((Table1[[#This Row],[Max Chip Thermal Density (W/cm2)]])),Table1[[#This Row],[Frequency (GHz)]]&lt;20),Table1[[#This Row],[Max Chip Thermal Density (W/cm2)]],#N/A)</f>
        <v>#N/A</v>
      </c>
      <c r="AP127" s="1">
        <f>IF(AND(ISNUMBER(Table1[[#This Row],[Max Chip Thermal Density (W/cm2)]]),Table1[[#This Row],[Frequency (GHz)]]&gt;=20,Table1[[#This Row],[Frequency (GHz)]]&lt;50),Table1[[#This Row],[Max Chip Thermal Density (W/cm2)]],#N/A)</f>
        <v>10.474631751227495</v>
      </c>
      <c r="AQ127" s="1" t="e">
        <f>IF(AND(ISNUMBER(Table1[[#This Row],[Max Chip Thermal Density (W/cm2)]]),Table1[[#This Row],[Frequency (GHz)]]&gt;=50,Table1[[#This Row],[Frequency (GHz)]]&lt;75),Table1[[#This Row],[Max Chip Thermal Density (W/cm2)]],#N/A)</f>
        <v>#N/A</v>
      </c>
      <c r="AR127" s="1" t="e">
        <f>IF(AND(ISNUMBER(Table1[[#This Row],[Max Chip Thermal Density (W/cm2)]]),Table1[[#This Row],[Frequency (GHz)]]&gt;=75,Table1[[#This Row],[Frequency (GHz)]]&lt;110),Table1[[#This Row],[Max Chip Thermal Density (W/cm2)]],#N/A)</f>
        <v>#N/A</v>
      </c>
      <c r="AS127" s="1" t="e">
        <f>IF(AND(ISNUMBER(Table1[[#This Row],[Max Chip Thermal Density (W/cm2)]]),Table1[[#This Row],[Frequency (GHz)]]&gt;=110,Table1[[#This Row],[Frequency (GHz)]]&lt;170),Table1[[#This Row],[Max Chip Thermal Density (W/cm2)]],#N/A)</f>
        <v>#N/A</v>
      </c>
      <c r="AT127" s="1" t="e">
        <f>IF(AND(ISNUMBER(Table1[[#This Row],[Max Chip Thermal Density (W/cm2)]]),Table1[[#This Row],[Frequency (GHz)]]&gt;=170,Table1[[#This Row],[Frequency (GHz)]]&lt;260),Table1[[#This Row],[Max Chip Thermal Density (W/cm2)]],#N/A)</f>
        <v>#N/A</v>
      </c>
      <c r="AU127" s="1" t="e">
        <f>IF(AND(ISNUMBER(Table1[[#This Row],[Max Chip Thermal Density (W/cm2)]]),Table1[[#This Row],[Frequency (GHz)]]&gt;=260),Table1[[#This Row],[Max Chip Thermal Density (W/cm2)]],#N/A)</f>
        <v>#N/A</v>
      </c>
    </row>
    <row r="128" spans="1:47" x14ac:dyDescent="0.2">
      <c r="A128" s="25">
        <f>IF(ISNUMBER(Table1[[#This Row],[Total Pout/Prad (dBm)]]),Table1[[#This Row],[Total Pout/Prad (dBm)]],#N/A)</f>
        <v>36.961799739838874</v>
      </c>
      <c r="B128" s="1">
        <f>IF(ISNUMBER(Table1[[#This Row],[Total Pout/Prad (dBm)]]),Table1[[#This Row],[Total '# of TX Elements]],#N/A)</f>
        <v>64</v>
      </c>
      <c r="C128" s="1">
        <f>IF(ISNUMBER(Table1[[#This Row],[TX EIRP (dBm)]]),Table1[[#This Row],[TX EIRP (dBm)]],#N/A)</f>
        <v>55.2</v>
      </c>
      <c r="D128" s="1">
        <f>Table1[[#This Row],[TX Pdc (W)]]</f>
        <v>25.728000000000002</v>
      </c>
      <c r="E128"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28" s="1">
        <f t="shared" si="2"/>
        <v>19.309629766882882</v>
      </c>
      <c r="G128" s="1">
        <f t="shared" si="3"/>
        <v>1287.0457147177851</v>
      </c>
      <c r="L128" s="1" t="e">
        <f>IF(Table1[[#This Row],[Frequency (GHz)]]&lt;20,Plot_Data_Power!F128,#N/A)</f>
        <v>#N/A</v>
      </c>
      <c r="M128" s="1">
        <f>IF(AND(Table1[[#This Row],[Frequency (GHz)]]&gt;=20,Table1[[#This Row],[Frequency (GHz)]]&lt;50),Plot_Data_Power!F128,#N/A)</f>
        <v>19.309629766882882</v>
      </c>
      <c r="N128" s="1" t="e">
        <f>IF(AND(Table1[[#This Row],[Frequency (GHz)]]&gt;=50,Table1[[#This Row],[Frequency (GHz)]]&lt;75),Plot_Data_Power!F128,#N/A)</f>
        <v>#N/A</v>
      </c>
      <c r="O128" s="1" t="e">
        <f>IF(AND(Table1[[#This Row],[Frequency (GHz)]]&gt;=75,Table1[[#This Row],[Frequency (GHz)]]&lt;110),Plot_Data_Power!F128,#N/A)</f>
        <v>#N/A</v>
      </c>
      <c r="P128" s="1" t="e">
        <f>IF(AND(Table1[[#This Row],[Frequency (GHz)]]&gt;=110,Table1[[#This Row],[Frequency (GHz)]]&lt;170),Plot_Data_Power!F128,#N/A)</f>
        <v>#N/A</v>
      </c>
      <c r="Q128" s="1" t="e">
        <f>IF(AND(Table1[[#This Row],[Frequency (GHz)]]&gt;=170,Table1[[#This Row],[Frequency (GHz)]]&lt;260),Plot_Data_Power!F128,#N/A)</f>
        <v>#N/A</v>
      </c>
      <c r="R128" s="1" t="e">
        <f>IF(Table1[[#This Row],[Frequency (GHz)]]&gt;=260,Plot_Data_Power!F128,#N/A)</f>
        <v>#N/A</v>
      </c>
      <c r="U128" s="1" t="e">
        <f>IF(Table1[[#This Row],[Frequency (GHz)]]&lt;20,Plot_Data_Power!G128,#N/A)</f>
        <v>#N/A</v>
      </c>
      <c r="V128" s="1">
        <f>IF(AND(Table1[[#This Row],[Frequency (GHz)]]&gt;=20,Table1[[#This Row],[Frequency (GHz)]]&lt;50),Plot_Data_Power!G128,#N/A)</f>
        <v>1287.0457147177851</v>
      </c>
      <c r="W128" s="1" t="e">
        <f>IF(AND(Table1[[#This Row],[Frequency (GHz)]]&gt;=50,Table1[[#This Row],[Frequency (GHz)]]&lt;75),Plot_Data_Power!G128,#N/A)</f>
        <v>#N/A</v>
      </c>
      <c r="X128" s="1" t="e">
        <f>IF(AND(Table1[[#This Row],[Frequency (GHz)]]&gt;=75,Table1[[#This Row],[Frequency (GHz)]]&lt;110),Plot_Data_Power!G128,#N/A)</f>
        <v>#N/A</v>
      </c>
      <c r="Y128" s="1" t="e">
        <f>IF(AND(Table1[[#This Row],[Frequency (GHz)]]&gt;=110,Table1[[#This Row],[Frequency (GHz)]]&lt;170),Plot_Data_Power!G128,#N/A)</f>
        <v>#N/A</v>
      </c>
      <c r="Z128" s="1" t="e">
        <f>IF(AND(Table1[[#This Row],[Frequency (GHz)]]&gt;=170,Table1[[#This Row],[Frequency (GHz)]]&lt;260),Plot_Data_Power!G128,#N/A)</f>
        <v>#N/A</v>
      </c>
      <c r="AA128" s="1" t="e">
        <f>IF(Table1[[#This Row],[Frequency (GHz)]]&gt;=260,Plot_Data_Power!G128,#N/A)</f>
        <v>#N/A</v>
      </c>
      <c r="AD128" s="1" t="e">
        <f>IF(ISNUMBER(Table1[[#This Row],[Max Package Thermal Density (W/cm2)]]),Table1[[#This Row],[Max Package Thermal Density (W/cm2)]],#N/A)</f>
        <v>#N/A</v>
      </c>
      <c r="AE128" s="1" t="e">
        <f>IF(AND(ISNUMBER((Table1[[#This Row],[Max Package Thermal Density (W/cm2)]])),Table1[[#This Row],[Frequency (GHz)]]&lt;20),Table1[[#This Row],[Max Package Thermal Density (W/cm2)]],#N/A)</f>
        <v>#N/A</v>
      </c>
      <c r="AF128" s="1" t="e">
        <f>IF(AND(ISNUMBER(Table1[[#This Row],[Max Package Thermal Density (W/cm2)]]),Table1[[#This Row],[Frequency (GHz)]]&gt;=20,Table1[[#This Row],[Frequency (GHz)]]&lt;50),Table1[[#This Row],[Max Package Thermal Density (W/cm2)]],#N/A)</f>
        <v>#N/A</v>
      </c>
      <c r="AG128" s="1" t="e">
        <f>IF(AND(ISNUMBER(Table1[[#This Row],[Max Package Thermal Density (W/cm2)]]),Table1[[#This Row],[Frequency (GHz)]]&gt;=50,Table1[[#This Row],[Frequency (GHz)]]&lt;75),Table1[[#This Row],[Max Package Thermal Density (W/cm2)]],#N/A)</f>
        <v>#N/A</v>
      </c>
      <c r="AH128" s="1" t="e">
        <f>IF(AND(ISNUMBER(Table1[[#This Row],[Max Package Thermal Density (W/cm2)]]),Table1[[#This Row],[Frequency (GHz)]]&gt;=75,Table1[[#This Row],[Frequency (GHz)]]&lt;110),Table1[[#This Row],[Max Package Thermal Density (W/cm2)]],#N/A)</f>
        <v>#N/A</v>
      </c>
      <c r="AI128" s="1" t="e">
        <f>IF(AND(ISNUMBER(Table1[[#This Row],[Max Package Thermal Density (W/cm2)]]),Table1[[#This Row],[Frequency (GHz)]]&gt;=110,Table1[[#This Row],[Frequency (GHz)]]&lt;170),Table1[[#This Row],[Max Package Thermal Density (W/cm2)]],#N/A)</f>
        <v>#N/A</v>
      </c>
      <c r="AJ128" s="1" t="e">
        <f>IF(AND(ISNUMBER(Table1[[#This Row],[Max Package Thermal Density (W/cm2)]]),Table1[[#This Row],[Frequency (GHz)]]&gt;=170,Table1[[#This Row],[Frequency (GHz)]]&lt;260),Table1[[#This Row],[Max Package Thermal Density (W/cm2)]],#N/A)</f>
        <v>#N/A</v>
      </c>
      <c r="AK128" s="1" t="e">
        <f>IF(AND(ISNUMBER(Table1[[#This Row],[Max Package Thermal Density (W/cm2)]]),Table1[[#This Row],[Frequency (GHz)]]&gt;=260),Table1[[#This Row],[Max Package Thermal Density (W/cm2)]],#N/A)</f>
        <v>#N/A</v>
      </c>
      <c r="AN128" s="1">
        <f>IF(ISNUMBER(Table1[[#This Row],[Max Chip Thermal Density (W/cm2)]]),Table1[[#This Row],[Max Chip Thermal Density (W/cm2)]],#N/A)</f>
        <v>7.1466666666666665</v>
      </c>
      <c r="AO128" s="1" t="e">
        <f>IF(AND(ISNUMBER((Table1[[#This Row],[Max Chip Thermal Density (W/cm2)]])),Table1[[#This Row],[Frequency (GHz)]]&lt;20),Table1[[#This Row],[Max Chip Thermal Density (W/cm2)]],#N/A)</f>
        <v>#N/A</v>
      </c>
      <c r="AP128" s="1">
        <f>IF(AND(ISNUMBER(Table1[[#This Row],[Max Chip Thermal Density (W/cm2)]]),Table1[[#This Row],[Frequency (GHz)]]&gt;=20,Table1[[#This Row],[Frequency (GHz)]]&lt;50),Table1[[#This Row],[Max Chip Thermal Density (W/cm2)]],#N/A)</f>
        <v>7.1466666666666665</v>
      </c>
      <c r="AQ128" s="1" t="e">
        <f>IF(AND(ISNUMBER(Table1[[#This Row],[Max Chip Thermal Density (W/cm2)]]),Table1[[#This Row],[Frequency (GHz)]]&gt;=50,Table1[[#This Row],[Frequency (GHz)]]&lt;75),Table1[[#This Row],[Max Chip Thermal Density (W/cm2)]],#N/A)</f>
        <v>#N/A</v>
      </c>
      <c r="AR128" s="1" t="e">
        <f>IF(AND(ISNUMBER(Table1[[#This Row],[Max Chip Thermal Density (W/cm2)]]),Table1[[#This Row],[Frequency (GHz)]]&gt;=75,Table1[[#This Row],[Frequency (GHz)]]&lt;110),Table1[[#This Row],[Max Chip Thermal Density (W/cm2)]],#N/A)</f>
        <v>#N/A</v>
      </c>
      <c r="AS128" s="1" t="e">
        <f>IF(AND(ISNUMBER(Table1[[#This Row],[Max Chip Thermal Density (W/cm2)]]),Table1[[#This Row],[Frequency (GHz)]]&gt;=110,Table1[[#This Row],[Frequency (GHz)]]&lt;170),Table1[[#This Row],[Max Chip Thermal Density (W/cm2)]],#N/A)</f>
        <v>#N/A</v>
      </c>
      <c r="AT128" s="1" t="e">
        <f>IF(AND(ISNUMBER(Table1[[#This Row],[Max Chip Thermal Density (W/cm2)]]),Table1[[#This Row],[Frequency (GHz)]]&gt;=170,Table1[[#This Row],[Frequency (GHz)]]&lt;260),Table1[[#This Row],[Max Chip Thermal Density (W/cm2)]],#N/A)</f>
        <v>#N/A</v>
      </c>
      <c r="AU128" s="1" t="e">
        <f>IF(AND(ISNUMBER(Table1[[#This Row],[Max Chip Thermal Density (W/cm2)]]),Table1[[#This Row],[Frequency (GHz)]]&gt;=260),Table1[[#This Row],[Max Chip Thermal Density (W/cm2)]],#N/A)</f>
        <v>#N/A</v>
      </c>
    </row>
    <row r="129" spans="1:47" x14ac:dyDescent="0.2">
      <c r="A129" s="25">
        <f>IF(ISNUMBER(Table1[[#This Row],[Total Pout/Prad (dBm)]]),Table1[[#This Row],[Total Pout/Prad (dBm)]],#N/A)</f>
        <v>-1.9794000867203771</v>
      </c>
      <c r="B129" s="1">
        <f>IF(ISNUMBER(Table1[[#This Row],[Total Pout/Prad (dBm)]]),Table1[[#This Row],[Total '# of TX Elements]],#N/A)</f>
        <v>4</v>
      </c>
      <c r="C129" s="1" t="e">
        <f>IF(ISNUMBER(Table1[[#This Row],[TX EIRP (dBm)]]),Table1[[#This Row],[TX EIRP (dBm)]],#N/A)</f>
        <v>#N/A</v>
      </c>
      <c r="D129" s="1">
        <f>Table1[[#This Row],[TX Pdc (W)]]</f>
        <v>2.5</v>
      </c>
      <c r="E129" s="1">
        <f>IF(ISNUMBER(Table1[[#This Row],[Array Aperture Size (cm2)]]),Table1[[#This Row],[Array Aperture Size (cm2)]],IF(Table1[[#This Row],[Antenna on (None, Chip, AiP, PCB)]]="Chip",Table1[[#This Row],[Chip Core Size - X (mm)]]*Table1[[#This Row],[Chip Core Size -Y (mm)]]/100*Table1[[#This Row],['# of IC per Tile]]*Table1[[#This Row],['# of Array Tile]],#N/A))</f>
        <v>0.23520000000000002</v>
      </c>
      <c r="F129" s="1">
        <f t="shared" si="2"/>
        <v>2.5358291079377808E-2</v>
      </c>
      <c r="G129" s="1" t="e">
        <f t="shared" si="3"/>
        <v>#N/A</v>
      </c>
      <c r="L129" s="1" t="e">
        <f>IF(Table1[[#This Row],[Frequency (GHz)]]&lt;20,Plot_Data_Power!F129,#N/A)</f>
        <v>#N/A</v>
      </c>
      <c r="M129" s="1" t="e">
        <f>IF(AND(Table1[[#This Row],[Frequency (GHz)]]&gt;=20,Table1[[#This Row],[Frequency (GHz)]]&lt;50),Plot_Data_Power!F129,#N/A)</f>
        <v>#N/A</v>
      </c>
      <c r="N129" s="1" t="e">
        <f>IF(AND(Table1[[#This Row],[Frequency (GHz)]]&gt;=50,Table1[[#This Row],[Frequency (GHz)]]&lt;75),Plot_Data_Power!F129,#N/A)</f>
        <v>#N/A</v>
      </c>
      <c r="O129" s="1" t="e">
        <f>IF(AND(Table1[[#This Row],[Frequency (GHz)]]&gt;=75,Table1[[#This Row],[Frequency (GHz)]]&lt;110),Plot_Data_Power!F129,#N/A)</f>
        <v>#N/A</v>
      </c>
      <c r="P129" s="1">
        <f>IF(AND(Table1[[#This Row],[Frequency (GHz)]]&gt;=110,Table1[[#This Row],[Frequency (GHz)]]&lt;170),Plot_Data_Power!F129,#N/A)</f>
        <v>2.5358291079377808E-2</v>
      </c>
      <c r="Q129" s="1" t="e">
        <f>IF(AND(Table1[[#This Row],[Frequency (GHz)]]&gt;=170,Table1[[#This Row],[Frequency (GHz)]]&lt;260),Plot_Data_Power!F129,#N/A)</f>
        <v>#N/A</v>
      </c>
      <c r="R129" s="1" t="e">
        <f>IF(Table1[[#This Row],[Frequency (GHz)]]&gt;=260,Plot_Data_Power!F129,#N/A)</f>
        <v>#N/A</v>
      </c>
      <c r="U129" s="1" t="e">
        <f>IF(Table1[[#This Row],[Frequency (GHz)]]&lt;20,Plot_Data_Power!G129,#N/A)</f>
        <v>#N/A</v>
      </c>
      <c r="V129" s="1" t="e">
        <f>IF(AND(Table1[[#This Row],[Frequency (GHz)]]&gt;=20,Table1[[#This Row],[Frequency (GHz)]]&lt;50),Plot_Data_Power!G129,#N/A)</f>
        <v>#N/A</v>
      </c>
      <c r="W129" s="1" t="e">
        <f>IF(AND(Table1[[#This Row],[Frequency (GHz)]]&gt;=50,Table1[[#This Row],[Frequency (GHz)]]&lt;75),Plot_Data_Power!G129,#N/A)</f>
        <v>#N/A</v>
      </c>
      <c r="X129" s="1" t="e">
        <f>IF(AND(Table1[[#This Row],[Frequency (GHz)]]&gt;=75,Table1[[#This Row],[Frequency (GHz)]]&lt;110),Plot_Data_Power!G129,#N/A)</f>
        <v>#N/A</v>
      </c>
      <c r="Y129" s="1" t="e">
        <f>IF(AND(Table1[[#This Row],[Frequency (GHz)]]&gt;=110,Table1[[#This Row],[Frequency (GHz)]]&lt;170),Plot_Data_Power!G129,#N/A)</f>
        <v>#N/A</v>
      </c>
      <c r="Z129" s="1" t="e">
        <f>IF(AND(Table1[[#This Row],[Frequency (GHz)]]&gt;=170,Table1[[#This Row],[Frequency (GHz)]]&lt;260),Plot_Data_Power!G129,#N/A)</f>
        <v>#N/A</v>
      </c>
      <c r="AA129" s="1" t="e">
        <f>IF(Table1[[#This Row],[Frequency (GHz)]]&gt;=260,Plot_Data_Power!G129,#N/A)</f>
        <v>#N/A</v>
      </c>
      <c r="AD129" s="1">
        <f>IF(ISNUMBER(Table1[[#This Row],[Max Package Thermal Density (W/cm2)]]),Table1[[#This Row],[Max Package Thermal Density (W/cm2)]],#N/A)</f>
        <v>10.629251700680271</v>
      </c>
      <c r="AE129" s="1" t="e">
        <f>IF(AND(ISNUMBER((Table1[[#This Row],[Max Package Thermal Density (W/cm2)]])),Table1[[#This Row],[Frequency (GHz)]]&lt;20),Table1[[#This Row],[Max Package Thermal Density (W/cm2)]],#N/A)</f>
        <v>#N/A</v>
      </c>
      <c r="AF129" s="1" t="e">
        <f>IF(AND(ISNUMBER(Table1[[#This Row],[Max Package Thermal Density (W/cm2)]]),Table1[[#This Row],[Frequency (GHz)]]&gt;=20,Table1[[#This Row],[Frequency (GHz)]]&lt;50),Table1[[#This Row],[Max Package Thermal Density (W/cm2)]],#N/A)</f>
        <v>#N/A</v>
      </c>
      <c r="AG129" s="1" t="e">
        <f>IF(AND(ISNUMBER(Table1[[#This Row],[Max Package Thermal Density (W/cm2)]]),Table1[[#This Row],[Frequency (GHz)]]&gt;=50,Table1[[#This Row],[Frequency (GHz)]]&lt;75),Table1[[#This Row],[Max Package Thermal Density (W/cm2)]],#N/A)</f>
        <v>#N/A</v>
      </c>
      <c r="AH129" s="1" t="e">
        <f>IF(AND(ISNUMBER(Table1[[#This Row],[Max Package Thermal Density (W/cm2)]]),Table1[[#This Row],[Frequency (GHz)]]&gt;=75,Table1[[#This Row],[Frequency (GHz)]]&lt;110),Table1[[#This Row],[Max Package Thermal Density (W/cm2)]],#N/A)</f>
        <v>#N/A</v>
      </c>
      <c r="AI129" s="1">
        <f>IF(AND(ISNUMBER(Table1[[#This Row],[Max Package Thermal Density (W/cm2)]]),Table1[[#This Row],[Frequency (GHz)]]&gt;=110,Table1[[#This Row],[Frequency (GHz)]]&lt;170),Table1[[#This Row],[Max Package Thermal Density (W/cm2)]],#N/A)</f>
        <v>10.629251700680271</v>
      </c>
      <c r="AJ129" s="1" t="e">
        <f>IF(AND(ISNUMBER(Table1[[#This Row],[Max Package Thermal Density (W/cm2)]]),Table1[[#This Row],[Frequency (GHz)]]&gt;=170,Table1[[#This Row],[Frequency (GHz)]]&lt;260),Table1[[#This Row],[Max Package Thermal Density (W/cm2)]],#N/A)</f>
        <v>#N/A</v>
      </c>
      <c r="AK129" s="1" t="e">
        <f>IF(AND(ISNUMBER(Table1[[#This Row],[Max Package Thermal Density (W/cm2)]]),Table1[[#This Row],[Frequency (GHz)]]&gt;=260),Table1[[#This Row],[Max Package Thermal Density (W/cm2)]],#N/A)</f>
        <v>#N/A</v>
      </c>
      <c r="AN129" s="1">
        <f>IF(ISNUMBER(Table1[[#This Row],[Max Chip Thermal Density (W/cm2)]]),Table1[[#This Row],[Max Chip Thermal Density (W/cm2)]],#N/A)</f>
        <v>9.1915143939115378</v>
      </c>
      <c r="AO129" s="1" t="e">
        <f>IF(AND(ISNUMBER((Table1[[#This Row],[Max Chip Thermal Density (W/cm2)]])),Table1[[#This Row],[Frequency (GHz)]]&lt;20),Table1[[#This Row],[Max Chip Thermal Density (W/cm2)]],#N/A)</f>
        <v>#N/A</v>
      </c>
      <c r="AP129" s="1" t="e">
        <f>IF(AND(ISNUMBER(Table1[[#This Row],[Max Chip Thermal Density (W/cm2)]]),Table1[[#This Row],[Frequency (GHz)]]&gt;=20,Table1[[#This Row],[Frequency (GHz)]]&lt;50),Table1[[#This Row],[Max Chip Thermal Density (W/cm2)]],#N/A)</f>
        <v>#N/A</v>
      </c>
      <c r="AQ129" s="1" t="e">
        <f>IF(AND(ISNUMBER(Table1[[#This Row],[Max Chip Thermal Density (W/cm2)]]),Table1[[#This Row],[Frequency (GHz)]]&gt;=50,Table1[[#This Row],[Frequency (GHz)]]&lt;75),Table1[[#This Row],[Max Chip Thermal Density (W/cm2)]],#N/A)</f>
        <v>#N/A</v>
      </c>
      <c r="AR129" s="1" t="e">
        <f>IF(AND(ISNUMBER(Table1[[#This Row],[Max Chip Thermal Density (W/cm2)]]),Table1[[#This Row],[Frequency (GHz)]]&gt;=75,Table1[[#This Row],[Frequency (GHz)]]&lt;110),Table1[[#This Row],[Max Chip Thermal Density (W/cm2)]],#N/A)</f>
        <v>#N/A</v>
      </c>
      <c r="AS129" s="1">
        <f>IF(AND(ISNUMBER(Table1[[#This Row],[Max Chip Thermal Density (W/cm2)]]),Table1[[#This Row],[Frequency (GHz)]]&gt;=110,Table1[[#This Row],[Frequency (GHz)]]&lt;170),Table1[[#This Row],[Max Chip Thermal Density (W/cm2)]],#N/A)</f>
        <v>9.1915143939115378</v>
      </c>
      <c r="AT129" s="1" t="e">
        <f>IF(AND(ISNUMBER(Table1[[#This Row],[Max Chip Thermal Density (W/cm2)]]),Table1[[#This Row],[Frequency (GHz)]]&gt;=170,Table1[[#This Row],[Frequency (GHz)]]&lt;260),Table1[[#This Row],[Max Chip Thermal Density (W/cm2)]],#N/A)</f>
        <v>#N/A</v>
      </c>
      <c r="AU129" s="1" t="e">
        <f>IF(AND(ISNUMBER(Table1[[#This Row],[Max Chip Thermal Density (W/cm2)]]),Table1[[#This Row],[Frequency (GHz)]]&gt;=260),Table1[[#This Row],[Max Chip Thermal Density (W/cm2)]],#N/A)</f>
        <v>#N/A</v>
      </c>
    </row>
    <row r="130" spans="1:47" x14ac:dyDescent="0.2">
      <c r="A130" s="25">
        <f>IF(ISNUMBER(Table1[[#This Row],[Total Pout/Prad (dBm)]]),Table1[[#This Row],[Total Pout/Prad (dBm)]],#N/A)</f>
        <v>23.520599913279625</v>
      </c>
      <c r="B130" s="1">
        <f>IF(ISNUMBER(Table1[[#This Row],[Total Pout/Prad (dBm)]]),Table1[[#This Row],[Total '# of TX Elements]],#N/A)</f>
        <v>4</v>
      </c>
      <c r="C130" s="1" t="e">
        <f>IF(ISNUMBER(Table1[[#This Row],[TX EIRP (dBm)]]),Table1[[#This Row],[TX EIRP (dBm)]],#N/A)</f>
        <v>#N/A</v>
      </c>
      <c r="D130" s="1" t="str">
        <f>Table1[[#This Row],[TX Pdc (W)]]</f>
        <v>N/A</v>
      </c>
      <c r="E130"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30" s="1" t="e">
        <f t="shared" si="2"/>
        <v>#N/A</v>
      </c>
      <c r="G130" s="1" t="e">
        <f t="shared" si="3"/>
        <v>#N/A</v>
      </c>
      <c r="L130" s="1" t="e">
        <f>IF(Table1[[#This Row],[Frequency (GHz)]]&lt;20,Plot_Data_Power!F130,#N/A)</f>
        <v>#N/A</v>
      </c>
      <c r="M130" s="1" t="e">
        <f>IF(AND(Table1[[#This Row],[Frequency (GHz)]]&gt;=20,Table1[[#This Row],[Frequency (GHz)]]&lt;50),Plot_Data_Power!F130,#N/A)</f>
        <v>#N/A</v>
      </c>
      <c r="N130" s="1" t="e">
        <f>IF(AND(Table1[[#This Row],[Frequency (GHz)]]&gt;=50,Table1[[#This Row],[Frequency (GHz)]]&lt;75),Plot_Data_Power!F130,#N/A)</f>
        <v>#N/A</v>
      </c>
      <c r="O130" s="1" t="e">
        <f>IF(AND(Table1[[#This Row],[Frequency (GHz)]]&gt;=75,Table1[[#This Row],[Frequency (GHz)]]&lt;110),Plot_Data_Power!F130,#N/A)</f>
        <v>#N/A</v>
      </c>
      <c r="P130" s="1" t="e">
        <f>IF(AND(Table1[[#This Row],[Frequency (GHz)]]&gt;=110,Table1[[#This Row],[Frequency (GHz)]]&lt;170),Plot_Data_Power!F130,#N/A)</f>
        <v>#N/A</v>
      </c>
      <c r="Q130" s="1" t="e">
        <f>IF(AND(Table1[[#This Row],[Frequency (GHz)]]&gt;=170,Table1[[#This Row],[Frequency (GHz)]]&lt;260),Plot_Data_Power!F130,#N/A)</f>
        <v>#N/A</v>
      </c>
      <c r="R130" s="1" t="e">
        <f>IF(Table1[[#This Row],[Frequency (GHz)]]&gt;=260,Plot_Data_Power!F130,#N/A)</f>
        <v>#N/A</v>
      </c>
      <c r="U130" s="1" t="e">
        <f>IF(Table1[[#This Row],[Frequency (GHz)]]&lt;20,Plot_Data_Power!G130,#N/A)</f>
        <v>#N/A</v>
      </c>
      <c r="V130" s="1" t="e">
        <f>IF(AND(Table1[[#This Row],[Frequency (GHz)]]&gt;=20,Table1[[#This Row],[Frequency (GHz)]]&lt;50),Plot_Data_Power!G130,#N/A)</f>
        <v>#N/A</v>
      </c>
      <c r="W130" s="1" t="e">
        <f>IF(AND(Table1[[#This Row],[Frequency (GHz)]]&gt;=50,Table1[[#This Row],[Frequency (GHz)]]&lt;75),Plot_Data_Power!G130,#N/A)</f>
        <v>#N/A</v>
      </c>
      <c r="X130" s="1" t="e">
        <f>IF(AND(Table1[[#This Row],[Frequency (GHz)]]&gt;=75,Table1[[#This Row],[Frequency (GHz)]]&lt;110),Plot_Data_Power!G130,#N/A)</f>
        <v>#N/A</v>
      </c>
      <c r="Y130" s="1" t="e">
        <f>IF(AND(Table1[[#This Row],[Frequency (GHz)]]&gt;=110,Table1[[#This Row],[Frequency (GHz)]]&lt;170),Plot_Data_Power!G130,#N/A)</f>
        <v>#N/A</v>
      </c>
      <c r="Z130" s="1" t="e">
        <f>IF(AND(Table1[[#This Row],[Frequency (GHz)]]&gt;=170,Table1[[#This Row],[Frequency (GHz)]]&lt;260),Plot_Data_Power!G130,#N/A)</f>
        <v>#N/A</v>
      </c>
      <c r="AA130" s="1" t="e">
        <f>IF(Table1[[#This Row],[Frequency (GHz)]]&gt;=260,Plot_Data_Power!G130,#N/A)</f>
        <v>#N/A</v>
      </c>
      <c r="AD130" s="1" t="e">
        <f>IF(ISNUMBER(Table1[[#This Row],[Max Package Thermal Density (W/cm2)]]),Table1[[#This Row],[Max Package Thermal Density (W/cm2)]],#N/A)</f>
        <v>#N/A</v>
      </c>
      <c r="AE130" s="1" t="e">
        <f>IF(AND(ISNUMBER((Table1[[#This Row],[Max Package Thermal Density (W/cm2)]])),Table1[[#This Row],[Frequency (GHz)]]&lt;20),Table1[[#This Row],[Max Package Thermal Density (W/cm2)]],#N/A)</f>
        <v>#N/A</v>
      </c>
      <c r="AF130" s="1" t="e">
        <f>IF(AND(ISNUMBER(Table1[[#This Row],[Max Package Thermal Density (W/cm2)]]),Table1[[#This Row],[Frequency (GHz)]]&gt;=20,Table1[[#This Row],[Frequency (GHz)]]&lt;50),Table1[[#This Row],[Max Package Thermal Density (W/cm2)]],#N/A)</f>
        <v>#N/A</v>
      </c>
      <c r="AG130" s="1" t="e">
        <f>IF(AND(ISNUMBER(Table1[[#This Row],[Max Package Thermal Density (W/cm2)]]),Table1[[#This Row],[Frequency (GHz)]]&gt;=50,Table1[[#This Row],[Frequency (GHz)]]&lt;75),Table1[[#This Row],[Max Package Thermal Density (W/cm2)]],#N/A)</f>
        <v>#N/A</v>
      </c>
      <c r="AH130" s="1" t="e">
        <f>IF(AND(ISNUMBER(Table1[[#This Row],[Max Package Thermal Density (W/cm2)]]),Table1[[#This Row],[Frequency (GHz)]]&gt;=75,Table1[[#This Row],[Frequency (GHz)]]&lt;110),Table1[[#This Row],[Max Package Thermal Density (W/cm2)]],#N/A)</f>
        <v>#N/A</v>
      </c>
      <c r="AI130" s="1" t="e">
        <f>IF(AND(ISNUMBER(Table1[[#This Row],[Max Package Thermal Density (W/cm2)]]),Table1[[#This Row],[Frequency (GHz)]]&gt;=110,Table1[[#This Row],[Frequency (GHz)]]&lt;170),Table1[[#This Row],[Max Package Thermal Density (W/cm2)]],#N/A)</f>
        <v>#N/A</v>
      </c>
      <c r="AJ130" s="1" t="e">
        <f>IF(AND(ISNUMBER(Table1[[#This Row],[Max Package Thermal Density (W/cm2)]]),Table1[[#This Row],[Frequency (GHz)]]&gt;=170,Table1[[#This Row],[Frequency (GHz)]]&lt;260),Table1[[#This Row],[Max Package Thermal Density (W/cm2)]],#N/A)</f>
        <v>#N/A</v>
      </c>
      <c r="AK130" s="1" t="e">
        <f>IF(AND(ISNUMBER(Table1[[#This Row],[Max Package Thermal Density (W/cm2)]]),Table1[[#This Row],[Frequency (GHz)]]&gt;=260),Table1[[#This Row],[Max Package Thermal Density (W/cm2)]],#N/A)</f>
        <v>#N/A</v>
      </c>
      <c r="AN130" s="1" t="e">
        <f>IF(ISNUMBER(Table1[[#This Row],[Max Chip Thermal Density (W/cm2)]]),Table1[[#This Row],[Max Chip Thermal Density (W/cm2)]],#N/A)</f>
        <v>#N/A</v>
      </c>
      <c r="AO130" s="1" t="e">
        <f>IF(AND(ISNUMBER((Table1[[#This Row],[Max Chip Thermal Density (W/cm2)]])),Table1[[#This Row],[Frequency (GHz)]]&lt;20),Table1[[#This Row],[Max Chip Thermal Density (W/cm2)]],#N/A)</f>
        <v>#N/A</v>
      </c>
      <c r="AP130" s="1" t="e">
        <f>IF(AND(ISNUMBER(Table1[[#This Row],[Max Chip Thermal Density (W/cm2)]]),Table1[[#This Row],[Frequency (GHz)]]&gt;=20,Table1[[#This Row],[Frequency (GHz)]]&lt;50),Table1[[#This Row],[Max Chip Thermal Density (W/cm2)]],#N/A)</f>
        <v>#N/A</v>
      </c>
      <c r="AQ130" s="1" t="e">
        <f>IF(AND(ISNUMBER(Table1[[#This Row],[Max Chip Thermal Density (W/cm2)]]),Table1[[#This Row],[Frequency (GHz)]]&gt;=50,Table1[[#This Row],[Frequency (GHz)]]&lt;75),Table1[[#This Row],[Max Chip Thermal Density (W/cm2)]],#N/A)</f>
        <v>#N/A</v>
      </c>
      <c r="AR130" s="1" t="e">
        <f>IF(AND(ISNUMBER(Table1[[#This Row],[Max Chip Thermal Density (W/cm2)]]),Table1[[#This Row],[Frequency (GHz)]]&gt;=75,Table1[[#This Row],[Frequency (GHz)]]&lt;110),Table1[[#This Row],[Max Chip Thermal Density (W/cm2)]],#N/A)</f>
        <v>#N/A</v>
      </c>
      <c r="AS130" s="1" t="e">
        <f>IF(AND(ISNUMBER(Table1[[#This Row],[Max Chip Thermal Density (W/cm2)]]),Table1[[#This Row],[Frequency (GHz)]]&gt;=110,Table1[[#This Row],[Frequency (GHz)]]&lt;170),Table1[[#This Row],[Max Chip Thermal Density (W/cm2)]],#N/A)</f>
        <v>#N/A</v>
      </c>
      <c r="AT130" s="1" t="e">
        <f>IF(AND(ISNUMBER(Table1[[#This Row],[Max Chip Thermal Density (W/cm2)]]),Table1[[#This Row],[Frequency (GHz)]]&gt;=170,Table1[[#This Row],[Frequency (GHz)]]&lt;260),Table1[[#This Row],[Max Chip Thermal Density (W/cm2)]],#N/A)</f>
        <v>#N/A</v>
      </c>
      <c r="AU130" s="1" t="e">
        <f>IF(AND(ISNUMBER(Table1[[#This Row],[Max Chip Thermal Density (W/cm2)]]),Table1[[#This Row],[Frequency (GHz)]]&gt;=260),Table1[[#This Row],[Max Chip Thermal Density (W/cm2)]],#N/A)</f>
        <v>#N/A</v>
      </c>
    </row>
    <row r="131" spans="1:47" x14ac:dyDescent="0.2">
      <c r="A131" s="25">
        <f>IF(ISNUMBER(Table1[[#This Row],[Total Pout/Prad (dBm)]]),Table1[[#This Row],[Total Pout/Prad (dBm)]],#N/A)</f>
        <v>20.5</v>
      </c>
      <c r="B131" s="1">
        <f>IF(ISNUMBER(Table1[[#This Row],[Total Pout/Prad (dBm)]]),Table1[[#This Row],[Total '# of TX Elements]],#N/A)</f>
        <v>1</v>
      </c>
      <c r="C131" s="1" t="e">
        <f>IF(ISNUMBER(Table1[[#This Row],[TX EIRP (dBm)]]),Table1[[#This Row],[TX EIRP (dBm)]],#N/A)</f>
        <v>#N/A</v>
      </c>
      <c r="D131" s="1">
        <f>Table1[[#This Row],[TX Pdc (W)]]</f>
        <v>0.51100000000000001</v>
      </c>
      <c r="E131"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31" s="1">
        <f t="shared" ref="F131:F140" si="4">IF(AND(ISNUMBER(A131),ISNUMBER(D131)),(10^(A131/10)/1000)/D131*100,#N/A)</f>
        <v>21.957308303365235</v>
      </c>
      <c r="G131" s="1" t="e">
        <f t="shared" ref="G131:G140" si="5">IF(AND(ISNUMBER(C131),ISNUMBER(D131)),(10^(C131/10)/1000)/D131*100,#N/A)</f>
        <v>#N/A</v>
      </c>
      <c r="L131" s="1" t="e">
        <f>IF(Table1[[#This Row],[Frequency (GHz)]]&lt;20,Plot_Data_Power!F131,#N/A)</f>
        <v>#N/A</v>
      </c>
      <c r="M131" s="1" t="e">
        <f>IF(AND(Table1[[#This Row],[Frequency (GHz)]]&gt;=20,Table1[[#This Row],[Frequency (GHz)]]&lt;50),Plot_Data_Power!F131,#N/A)</f>
        <v>#N/A</v>
      </c>
      <c r="N131" s="1" t="e">
        <f>IF(AND(Table1[[#This Row],[Frequency (GHz)]]&gt;=50,Table1[[#This Row],[Frequency (GHz)]]&lt;75),Plot_Data_Power!F131,#N/A)</f>
        <v>#N/A</v>
      </c>
      <c r="O131" s="1">
        <f>IF(AND(Table1[[#This Row],[Frequency (GHz)]]&gt;=75,Table1[[#This Row],[Frequency (GHz)]]&lt;110),Plot_Data_Power!F131,#N/A)</f>
        <v>21.957308303365235</v>
      </c>
      <c r="P131" s="1" t="e">
        <f>IF(AND(Table1[[#This Row],[Frequency (GHz)]]&gt;=110,Table1[[#This Row],[Frequency (GHz)]]&lt;170),Plot_Data_Power!F131,#N/A)</f>
        <v>#N/A</v>
      </c>
      <c r="Q131" s="1" t="e">
        <f>IF(AND(Table1[[#This Row],[Frequency (GHz)]]&gt;=170,Table1[[#This Row],[Frequency (GHz)]]&lt;260),Plot_Data_Power!F131,#N/A)</f>
        <v>#N/A</v>
      </c>
      <c r="R131" s="1" t="e">
        <f>IF(Table1[[#This Row],[Frequency (GHz)]]&gt;=260,Plot_Data_Power!F131,#N/A)</f>
        <v>#N/A</v>
      </c>
      <c r="U131" s="1" t="e">
        <f>IF(Table1[[#This Row],[Frequency (GHz)]]&lt;20,Plot_Data_Power!G131,#N/A)</f>
        <v>#N/A</v>
      </c>
      <c r="V131" s="1" t="e">
        <f>IF(AND(Table1[[#This Row],[Frequency (GHz)]]&gt;=20,Table1[[#This Row],[Frequency (GHz)]]&lt;50),Plot_Data_Power!G131,#N/A)</f>
        <v>#N/A</v>
      </c>
      <c r="W131" s="1" t="e">
        <f>IF(AND(Table1[[#This Row],[Frequency (GHz)]]&gt;=50,Table1[[#This Row],[Frequency (GHz)]]&lt;75),Plot_Data_Power!G131,#N/A)</f>
        <v>#N/A</v>
      </c>
      <c r="X131" s="1" t="e">
        <f>IF(AND(Table1[[#This Row],[Frequency (GHz)]]&gt;=75,Table1[[#This Row],[Frequency (GHz)]]&lt;110),Plot_Data_Power!G131,#N/A)</f>
        <v>#N/A</v>
      </c>
      <c r="Y131" s="1" t="e">
        <f>IF(AND(Table1[[#This Row],[Frequency (GHz)]]&gt;=110,Table1[[#This Row],[Frequency (GHz)]]&lt;170),Plot_Data_Power!G131,#N/A)</f>
        <v>#N/A</v>
      </c>
      <c r="Z131" s="1" t="e">
        <f>IF(AND(Table1[[#This Row],[Frequency (GHz)]]&gt;=170,Table1[[#This Row],[Frequency (GHz)]]&lt;260),Plot_Data_Power!G131,#N/A)</f>
        <v>#N/A</v>
      </c>
      <c r="AA131" s="1" t="e">
        <f>IF(Table1[[#This Row],[Frequency (GHz)]]&gt;=260,Plot_Data_Power!G131,#N/A)</f>
        <v>#N/A</v>
      </c>
      <c r="AD131" s="1" t="e">
        <f>IF(ISNUMBER(Table1[[#This Row],[Max Package Thermal Density (W/cm2)]]),Table1[[#This Row],[Max Package Thermal Density (W/cm2)]],#N/A)</f>
        <v>#N/A</v>
      </c>
      <c r="AE131" s="1" t="e">
        <f>IF(AND(ISNUMBER((Table1[[#This Row],[Max Package Thermal Density (W/cm2)]])),Table1[[#This Row],[Frequency (GHz)]]&lt;20),Table1[[#This Row],[Max Package Thermal Density (W/cm2)]],#N/A)</f>
        <v>#N/A</v>
      </c>
      <c r="AF131" s="1" t="e">
        <f>IF(AND(ISNUMBER(Table1[[#This Row],[Max Package Thermal Density (W/cm2)]]),Table1[[#This Row],[Frequency (GHz)]]&gt;=20,Table1[[#This Row],[Frequency (GHz)]]&lt;50),Table1[[#This Row],[Max Package Thermal Density (W/cm2)]],#N/A)</f>
        <v>#N/A</v>
      </c>
      <c r="AG131" s="1" t="e">
        <f>IF(AND(ISNUMBER(Table1[[#This Row],[Max Package Thermal Density (W/cm2)]]),Table1[[#This Row],[Frequency (GHz)]]&gt;=50,Table1[[#This Row],[Frequency (GHz)]]&lt;75),Table1[[#This Row],[Max Package Thermal Density (W/cm2)]],#N/A)</f>
        <v>#N/A</v>
      </c>
      <c r="AH131" s="1" t="e">
        <f>IF(AND(ISNUMBER(Table1[[#This Row],[Max Package Thermal Density (W/cm2)]]),Table1[[#This Row],[Frequency (GHz)]]&gt;=75,Table1[[#This Row],[Frequency (GHz)]]&lt;110),Table1[[#This Row],[Max Package Thermal Density (W/cm2)]],#N/A)</f>
        <v>#N/A</v>
      </c>
      <c r="AI131" s="1" t="e">
        <f>IF(AND(ISNUMBER(Table1[[#This Row],[Max Package Thermal Density (W/cm2)]]),Table1[[#This Row],[Frequency (GHz)]]&gt;=110,Table1[[#This Row],[Frequency (GHz)]]&lt;170),Table1[[#This Row],[Max Package Thermal Density (W/cm2)]],#N/A)</f>
        <v>#N/A</v>
      </c>
      <c r="AJ131" s="1" t="e">
        <f>IF(AND(ISNUMBER(Table1[[#This Row],[Max Package Thermal Density (W/cm2)]]),Table1[[#This Row],[Frequency (GHz)]]&gt;=170,Table1[[#This Row],[Frequency (GHz)]]&lt;260),Table1[[#This Row],[Max Package Thermal Density (W/cm2)]],#N/A)</f>
        <v>#N/A</v>
      </c>
      <c r="AK131" s="1" t="e">
        <f>IF(AND(ISNUMBER(Table1[[#This Row],[Max Package Thermal Density (W/cm2)]]),Table1[[#This Row],[Frequency (GHz)]]&gt;=260),Table1[[#This Row],[Max Package Thermal Density (W/cm2)]],#N/A)</f>
        <v>#N/A</v>
      </c>
      <c r="AN131" s="1">
        <f>IF(ISNUMBER(Table1[[#This Row],[Max Chip Thermal Density (W/cm2)]]),Table1[[#This Row],[Max Chip Thermal Density (W/cm2)]],#N/A)</f>
        <v>56.030701754385966</v>
      </c>
      <c r="AO131" s="1" t="e">
        <f>IF(AND(ISNUMBER((Table1[[#This Row],[Max Chip Thermal Density (W/cm2)]])),Table1[[#This Row],[Frequency (GHz)]]&lt;20),Table1[[#This Row],[Max Chip Thermal Density (W/cm2)]],#N/A)</f>
        <v>#N/A</v>
      </c>
      <c r="AP131" s="1" t="e">
        <f>IF(AND(ISNUMBER(Table1[[#This Row],[Max Chip Thermal Density (W/cm2)]]),Table1[[#This Row],[Frequency (GHz)]]&gt;=20,Table1[[#This Row],[Frequency (GHz)]]&lt;50),Table1[[#This Row],[Max Chip Thermal Density (W/cm2)]],#N/A)</f>
        <v>#N/A</v>
      </c>
      <c r="AQ131" s="1" t="e">
        <f>IF(AND(ISNUMBER(Table1[[#This Row],[Max Chip Thermal Density (W/cm2)]]),Table1[[#This Row],[Frequency (GHz)]]&gt;=50,Table1[[#This Row],[Frequency (GHz)]]&lt;75),Table1[[#This Row],[Max Chip Thermal Density (W/cm2)]],#N/A)</f>
        <v>#N/A</v>
      </c>
      <c r="AR131" s="1">
        <f>IF(AND(ISNUMBER(Table1[[#This Row],[Max Chip Thermal Density (W/cm2)]]),Table1[[#This Row],[Frequency (GHz)]]&gt;=75,Table1[[#This Row],[Frequency (GHz)]]&lt;110),Table1[[#This Row],[Max Chip Thermal Density (W/cm2)]],#N/A)</f>
        <v>56.030701754385966</v>
      </c>
      <c r="AS131" s="1" t="e">
        <f>IF(AND(ISNUMBER(Table1[[#This Row],[Max Chip Thermal Density (W/cm2)]]),Table1[[#This Row],[Frequency (GHz)]]&gt;=110,Table1[[#This Row],[Frequency (GHz)]]&lt;170),Table1[[#This Row],[Max Chip Thermal Density (W/cm2)]],#N/A)</f>
        <v>#N/A</v>
      </c>
      <c r="AT131" s="1" t="e">
        <f>IF(AND(ISNUMBER(Table1[[#This Row],[Max Chip Thermal Density (W/cm2)]]),Table1[[#This Row],[Frequency (GHz)]]&gt;=170,Table1[[#This Row],[Frequency (GHz)]]&lt;260),Table1[[#This Row],[Max Chip Thermal Density (W/cm2)]],#N/A)</f>
        <v>#N/A</v>
      </c>
      <c r="AU131" s="1" t="e">
        <f>IF(AND(ISNUMBER(Table1[[#This Row],[Max Chip Thermal Density (W/cm2)]]),Table1[[#This Row],[Frequency (GHz)]]&gt;=260),Table1[[#This Row],[Max Chip Thermal Density (W/cm2)]],#N/A)</f>
        <v>#N/A</v>
      </c>
    </row>
    <row r="132" spans="1:47" x14ac:dyDescent="0.2">
      <c r="A132" s="25">
        <f>IF(ISNUMBER(Table1[[#This Row],[Total Pout/Prad (dBm)]]),Table1[[#This Row],[Total Pout/Prad (dBm)]],#N/A)</f>
        <v>3.5</v>
      </c>
      <c r="B132" s="1">
        <f>IF(ISNUMBER(Table1[[#This Row],[Total Pout/Prad (dBm)]]),Table1[[#This Row],[Total '# of TX Elements]],#N/A)</f>
        <v>1</v>
      </c>
      <c r="C132" s="1" t="e">
        <f>IF(ISNUMBER(Table1[[#This Row],[TX EIRP (dBm)]]),Table1[[#This Row],[TX EIRP (dBm)]],#N/A)</f>
        <v>#N/A</v>
      </c>
      <c r="D132" s="1">
        <f>Table1[[#This Row],[TX Pdc (W)]]</f>
        <v>0.41399999999999998</v>
      </c>
      <c r="E132"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32" s="1">
        <f t="shared" si="4"/>
        <v>0.54075389820491293</v>
      </c>
      <c r="G132" s="1" t="e">
        <f t="shared" si="5"/>
        <v>#N/A</v>
      </c>
      <c r="L132" s="1" t="e">
        <f>IF(Table1[[#This Row],[Frequency (GHz)]]&lt;20,Plot_Data_Power!F132,#N/A)</f>
        <v>#N/A</v>
      </c>
      <c r="M132" s="1" t="e">
        <f>IF(AND(Table1[[#This Row],[Frequency (GHz)]]&gt;=20,Table1[[#This Row],[Frequency (GHz)]]&lt;50),Plot_Data_Power!F132,#N/A)</f>
        <v>#N/A</v>
      </c>
      <c r="N132" s="1" t="e">
        <f>IF(AND(Table1[[#This Row],[Frequency (GHz)]]&gt;=50,Table1[[#This Row],[Frequency (GHz)]]&lt;75),Plot_Data_Power!F132,#N/A)</f>
        <v>#N/A</v>
      </c>
      <c r="O132" s="1" t="e">
        <f>IF(AND(Table1[[#This Row],[Frequency (GHz)]]&gt;=75,Table1[[#This Row],[Frequency (GHz)]]&lt;110),Plot_Data_Power!F132,#N/A)</f>
        <v>#N/A</v>
      </c>
      <c r="P132" s="1" t="e">
        <f>IF(AND(Table1[[#This Row],[Frequency (GHz)]]&gt;=110,Table1[[#This Row],[Frequency (GHz)]]&lt;170),Plot_Data_Power!F132,#N/A)</f>
        <v>#N/A</v>
      </c>
      <c r="Q132" s="1">
        <f>IF(AND(Table1[[#This Row],[Frequency (GHz)]]&gt;=170,Table1[[#This Row],[Frequency (GHz)]]&lt;260),Plot_Data_Power!F132,#N/A)</f>
        <v>0.54075389820491293</v>
      </c>
      <c r="R132" s="1" t="e">
        <f>IF(Table1[[#This Row],[Frequency (GHz)]]&gt;=260,Plot_Data_Power!F132,#N/A)</f>
        <v>#N/A</v>
      </c>
      <c r="U132" s="1" t="e">
        <f>IF(Table1[[#This Row],[Frequency (GHz)]]&lt;20,Plot_Data_Power!G132,#N/A)</f>
        <v>#N/A</v>
      </c>
      <c r="V132" s="1" t="e">
        <f>IF(AND(Table1[[#This Row],[Frequency (GHz)]]&gt;=20,Table1[[#This Row],[Frequency (GHz)]]&lt;50),Plot_Data_Power!G132,#N/A)</f>
        <v>#N/A</v>
      </c>
      <c r="W132" s="1" t="e">
        <f>IF(AND(Table1[[#This Row],[Frequency (GHz)]]&gt;=50,Table1[[#This Row],[Frequency (GHz)]]&lt;75),Plot_Data_Power!G132,#N/A)</f>
        <v>#N/A</v>
      </c>
      <c r="X132" s="1" t="e">
        <f>IF(AND(Table1[[#This Row],[Frequency (GHz)]]&gt;=75,Table1[[#This Row],[Frequency (GHz)]]&lt;110),Plot_Data_Power!G132,#N/A)</f>
        <v>#N/A</v>
      </c>
      <c r="Y132" s="1" t="e">
        <f>IF(AND(Table1[[#This Row],[Frequency (GHz)]]&gt;=110,Table1[[#This Row],[Frequency (GHz)]]&lt;170),Plot_Data_Power!G132,#N/A)</f>
        <v>#N/A</v>
      </c>
      <c r="Z132" s="1" t="e">
        <f>IF(AND(Table1[[#This Row],[Frequency (GHz)]]&gt;=170,Table1[[#This Row],[Frequency (GHz)]]&lt;260),Plot_Data_Power!G132,#N/A)</f>
        <v>#N/A</v>
      </c>
      <c r="AA132" s="1" t="e">
        <f>IF(Table1[[#This Row],[Frequency (GHz)]]&gt;=260,Plot_Data_Power!G132,#N/A)</f>
        <v>#N/A</v>
      </c>
      <c r="AD132" s="1" t="e">
        <f>IF(ISNUMBER(Table1[[#This Row],[Max Package Thermal Density (W/cm2)]]),Table1[[#This Row],[Max Package Thermal Density (W/cm2)]],#N/A)</f>
        <v>#N/A</v>
      </c>
      <c r="AE132" s="1" t="e">
        <f>IF(AND(ISNUMBER((Table1[[#This Row],[Max Package Thermal Density (W/cm2)]])),Table1[[#This Row],[Frequency (GHz)]]&lt;20),Table1[[#This Row],[Max Package Thermal Density (W/cm2)]],#N/A)</f>
        <v>#N/A</v>
      </c>
      <c r="AF132" s="1" t="e">
        <f>IF(AND(ISNUMBER(Table1[[#This Row],[Max Package Thermal Density (W/cm2)]]),Table1[[#This Row],[Frequency (GHz)]]&gt;=20,Table1[[#This Row],[Frequency (GHz)]]&lt;50),Table1[[#This Row],[Max Package Thermal Density (W/cm2)]],#N/A)</f>
        <v>#N/A</v>
      </c>
      <c r="AG132" s="1" t="e">
        <f>IF(AND(ISNUMBER(Table1[[#This Row],[Max Package Thermal Density (W/cm2)]]),Table1[[#This Row],[Frequency (GHz)]]&gt;=50,Table1[[#This Row],[Frequency (GHz)]]&lt;75),Table1[[#This Row],[Max Package Thermal Density (W/cm2)]],#N/A)</f>
        <v>#N/A</v>
      </c>
      <c r="AH132" s="1" t="e">
        <f>IF(AND(ISNUMBER(Table1[[#This Row],[Max Package Thermal Density (W/cm2)]]),Table1[[#This Row],[Frequency (GHz)]]&gt;=75,Table1[[#This Row],[Frequency (GHz)]]&lt;110),Table1[[#This Row],[Max Package Thermal Density (W/cm2)]],#N/A)</f>
        <v>#N/A</v>
      </c>
      <c r="AI132" s="1" t="e">
        <f>IF(AND(ISNUMBER(Table1[[#This Row],[Max Package Thermal Density (W/cm2)]]),Table1[[#This Row],[Frequency (GHz)]]&gt;=110,Table1[[#This Row],[Frequency (GHz)]]&lt;170),Table1[[#This Row],[Max Package Thermal Density (W/cm2)]],#N/A)</f>
        <v>#N/A</v>
      </c>
      <c r="AJ132" s="1" t="e">
        <f>IF(AND(ISNUMBER(Table1[[#This Row],[Max Package Thermal Density (W/cm2)]]),Table1[[#This Row],[Frequency (GHz)]]&gt;=170,Table1[[#This Row],[Frequency (GHz)]]&lt;260),Table1[[#This Row],[Max Package Thermal Density (W/cm2)]],#N/A)</f>
        <v>#N/A</v>
      </c>
      <c r="AK132" s="1" t="e">
        <f>IF(AND(ISNUMBER(Table1[[#This Row],[Max Package Thermal Density (W/cm2)]]),Table1[[#This Row],[Frequency (GHz)]]&gt;=260),Table1[[#This Row],[Max Package Thermal Density (W/cm2)]],#N/A)</f>
        <v>#N/A</v>
      </c>
      <c r="AN132" s="1">
        <f>IF(ISNUMBER(Table1[[#This Row],[Max Chip Thermal Density (W/cm2)]]),Table1[[#This Row],[Max Chip Thermal Density (W/cm2)]],#N/A)</f>
        <v>25.761648745519715</v>
      </c>
      <c r="AO132" s="1" t="e">
        <f>IF(AND(ISNUMBER((Table1[[#This Row],[Max Chip Thermal Density (W/cm2)]])),Table1[[#This Row],[Frequency (GHz)]]&lt;20),Table1[[#This Row],[Max Chip Thermal Density (W/cm2)]],#N/A)</f>
        <v>#N/A</v>
      </c>
      <c r="AP132" s="1" t="e">
        <f>IF(AND(ISNUMBER(Table1[[#This Row],[Max Chip Thermal Density (W/cm2)]]),Table1[[#This Row],[Frequency (GHz)]]&gt;=20,Table1[[#This Row],[Frequency (GHz)]]&lt;50),Table1[[#This Row],[Max Chip Thermal Density (W/cm2)]],#N/A)</f>
        <v>#N/A</v>
      </c>
      <c r="AQ132" s="1" t="e">
        <f>IF(AND(ISNUMBER(Table1[[#This Row],[Max Chip Thermal Density (W/cm2)]]),Table1[[#This Row],[Frequency (GHz)]]&gt;=50,Table1[[#This Row],[Frequency (GHz)]]&lt;75),Table1[[#This Row],[Max Chip Thermal Density (W/cm2)]],#N/A)</f>
        <v>#N/A</v>
      </c>
      <c r="AR132" s="1" t="e">
        <f>IF(AND(ISNUMBER(Table1[[#This Row],[Max Chip Thermal Density (W/cm2)]]),Table1[[#This Row],[Frequency (GHz)]]&gt;=75,Table1[[#This Row],[Frequency (GHz)]]&lt;110),Table1[[#This Row],[Max Chip Thermal Density (W/cm2)]],#N/A)</f>
        <v>#N/A</v>
      </c>
      <c r="AS132" s="1" t="e">
        <f>IF(AND(ISNUMBER(Table1[[#This Row],[Max Chip Thermal Density (W/cm2)]]),Table1[[#This Row],[Frequency (GHz)]]&gt;=110,Table1[[#This Row],[Frequency (GHz)]]&lt;170),Table1[[#This Row],[Max Chip Thermal Density (W/cm2)]],#N/A)</f>
        <v>#N/A</v>
      </c>
      <c r="AT132" s="1">
        <f>IF(AND(ISNUMBER(Table1[[#This Row],[Max Chip Thermal Density (W/cm2)]]),Table1[[#This Row],[Frequency (GHz)]]&gt;=170,Table1[[#This Row],[Frequency (GHz)]]&lt;260),Table1[[#This Row],[Max Chip Thermal Density (W/cm2)]],#N/A)</f>
        <v>25.761648745519715</v>
      </c>
      <c r="AU132" s="1" t="e">
        <f>IF(AND(ISNUMBER(Table1[[#This Row],[Max Chip Thermal Density (W/cm2)]]),Table1[[#This Row],[Frequency (GHz)]]&gt;=260),Table1[[#This Row],[Max Chip Thermal Density (W/cm2)]],#N/A)</f>
        <v>#N/A</v>
      </c>
    </row>
    <row r="133" spans="1:47" x14ac:dyDescent="0.2">
      <c r="A133" s="25">
        <f>IF(ISNUMBER(Table1[[#This Row],[Total Pout/Prad (dBm)]]),Table1[[#This Row],[Total Pout/Prad (dBm)]],#N/A)</f>
        <v>9.1</v>
      </c>
      <c r="B133" s="1">
        <f>IF(ISNUMBER(Table1[[#This Row],[Total Pout/Prad (dBm)]]),Table1[[#This Row],[Total '# of TX Elements]],#N/A)</f>
        <v>144</v>
      </c>
      <c r="C133" s="1">
        <f>IF(ISNUMBER(Table1[[#This Row],[TX EIRP (dBm)]]),Table1[[#This Row],[TX EIRP (dBm)]],#N/A)</f>
        <v>30.8</v>
      </c>
      <c r="D133" s="1" t="str">
        <f>Table1[[#This Row],[TX Pdc (W)]]</f>
        <v>N/A</v>
      </c>
      <c r="E133" s="1">
        <f>IF(ISNUMBER(Table1[[#This Row],[Array Aperture Size (cm2)]]),Table1[[#This Row],[Array Aperture Size (cm2)]],IF(Table1[[#This Row],[Antenna on (None, Chip, AiP, PCB)]]="Chip",Table1[[#This Row],[Chip Core Size - X (mm)]]*Table1[[#This Row],[Chip Core Size -Y (mm)]]/100*Table1[[#This Row],['# of IC per Tile]]*Table1[[#This Row],['# of Array Tile]],#N/A))</f>
        <v>2.7000000000000003E-2</v>
      </c>
      <c r="F133" s="1" t="e">
        <f t="shared" si="4"/>
        <v>#N/A</v>
      </c>
      <c r="G133" s="1" t="e">
        <f t="shared" si="5"/>
        <v>#N/A</v>
      </c>
      <c r="L133" s="1" t="e">
        <f>IF(Table1[[#This Row],[Frequency (GHz)]]&lt;20,Plot_Data_Power!F133,#N/A)</f>
        <v>#N/A</v>
      </c>
      <c r="M133" s="1" t="e">
        <f>IF(AND(Table1[[#This Row],[Frequency (GHz)]]&gt;=20,Table1[[#This Row],[Frequency (GHz)]]&lt;50),Plot_Data_Power!F133,#N/A)</f>
        <v>#N/A</v>
      </c>
      <c r="N133" s="1" t="e">
        <f>IF(AND(Table1[[#This Row],[Frequency (GHz)]]&gt;=50,Table1[[#This Row],[Frequency (GHz)]]&lt;75),Plot_Data_Power!F133,#N/A)</f>
        <v>#N/A</v>
      </c>
      <c r="O133" s="1" t="e">
        <f>IF(AND(Table1[[#This Row],[Frequency (GHz)]]&gt;=75,Table1[[#This Row],[Frequency (GHz)]]&lt;110),Plot_Data_Power!F133,#N/A)</f>
        <v>#N/A</v>
      </c>
      <c r="P133" s="1" t="e">
        <f>IF(AND(Table1[[#This Row],[Frequency (GHz)]]&gt;=110,Table1[[#This Row],[Frequency (GHz)]]&lt;170),Plot_Data_Power!F133,#N/A)</f>
        <v>#N/A</v>
      </c>
      <c r="Q133" s="1" t="e">
        <f>IF(AND(Table1[[#This Row],[Frequency (GHz)]]&gt;=170,Table1[[#This Row],[Frequency (GHz)]]&lt;260),Plot_Data_Power!F133,#N/A)</f>
        <v>#N/A</v>
      </c>
      <c r="R133" s="1" t="e">
        <f>IF(Table1[[#This Row],[Frequency (GHz)]]&gt;=260,Plot_Data_Power!F133,#N/A)</f>
        <v>#N/A</v>
      </c>
      <c r="U133" s="1" t="e">
        <f>IF(Table1[[#This Row],[Frequency (GHz)]]&lt;20,Plot_Data_Power!G133,#N/A)</f>
        <v>#N/A</v>
      </c>
      <c r="V133" s="1" t="e">
        <f>IF(AND(Table1[[#This Row],[Frequency (GHz)]]&gt;=20,Table1[[#This Row],[Frequency (GHz)]]&lt;50),Plot_Data_Power!G133,#N/A)</f>
        <v>#N/A</v>
      </c>
      <c r="W133" s="1" t="e">
        <f>IF(AND(Table1[[#This Row],[Frequency (GHz)]]&gt;=50,Table1[[#This Row],[Frequency (GHz)]]&lt;75),Plot_Data_Power!G133,#N/A)</f>
        <v>#N/A</v>
      </c>
      <c r="X133" s="1" t="e">
        <f>IF(AND(Table1[[#This Row],[Frequency (GHz)]]&gt;=75,Table1[[#This Row],[Frequency (GHz)]]&lt;110),Plot_Data_Power!G133,#N/A)</f>
        <v>#N/A</v>
      </c>
      <c r="Y133" s="1" t="e">
        <f>IF(AND(Table1[[#This Row],[Frequency (GHz)]]&gt;=110,Table1[[#This Row],[Frequency (GHz)]]&lt;170),Plot_Data_Power!G133,#N/A)</f>
        <v>#N/A</v>
      </c>
      <c r="Z133" s="1" t="e">
        <f>IF(AND(Table1[[#This Row],[Frequency (GHz)]]&gt;=170,Table1[[#This Row],[Frequency (GHz)]]&lt;260),Plot_Data_Power!G133,#N/A)</f>
        <v>#N/A</v>
      </c>
      <c r="AA133" s="1" t="e">
        <f>IF(Table1[[#This Row],[Frequency (GHz)]]&gt;=260,Plot_Data_Power!G133,#N/A)</f>
        <v>#N/A</v>
      </c>
      <c r="AD133" s="1" t="e">
        <f>IF(ISNUMBER(Table1[[#This Row],[Max Package Thermal Density (W/cm2)]]),Table1[[#This Row],[Max Package Thermal Density (W/cm2)]],#N/A)</f>
        <v>#N/A</v>
      </c>
      <c r="AE133" s="1" t="e">
        <f>IF(AND(ISNUMBER((Table1[[#This Row],[Max Package Thermal Density (W/cm2)]])),Table1[[#This Row],[Frequency (GHz)]]&lt;20),Table1[[#This Row],[Max Package Thermal Density (W/cm2)]],#N/A)</f>
        <v>#N/A</v>
      </c>
      <c r="AF133" s="1" t="e">
        <f>IF(AND(ISNUMBER(Table1[[#This Row],[Max Package Thermal Density (W/cm2)]]),Table1[[#This Row],[Frequency (GHz)]]&gt;=20,Table1[[#This Row],[Frequency (GHz)]]&lt;50),Table1[[#This Row],[Max Package Thermal Density (W/cm2)]],#N/A)</f>
        <v>#N/A</v>
      </c>
      <c r="AG133" s="1" t="e">
        <f>IF(AND(ISNUMBER(Table1[[#This Row],[Max Package Thermal Density (W/cm2)]]),Table1[[#This Row],[Frequency (GHz)]]&gt;=50,Table1[[#This Row],[Frequency (GHz)]]&lt;75),Table1[[#This Row],[Max Package Thermal Density (W/cm2)]],#N/A)</f>
        <v>#N/A</v>
      </c>
      <c r="AH133" s="1" t="e">
        <f>IF(AND(ISNUMBER(Table1[[#This Row],[Max Package Thermal Density (W/cm2)]]),Table1[[#This Row],[Frequency (GHz)]]&gt;=75,Table1[[#This Row],[Frequency (GHz)]]&lt;110),Table1[[#This Row],[Max Package Thermal Density (W/cm2)]],#N/A)</f>
        <v>#N/A</v>
      </c>
      <c r="AI133" s="1" t="e">
        <f>IF(AND(ISNUMBER(Table1[[#This Row],[Max Package Thermal Density (W/cm2)]]),Table1[[#This Row],[Frequency (GHz)]]&gt;=110,Table1[[#This Row],[Frequency (GHz)]]&lt;170),Table1[[#This Row],[Max Package Thermal Density (W/cm2)]],#N/A)</f>
        <v>#N/A</v>
      </c>
      <c r="AJ133" s="1" t="e">
        <f>IF(AND(ISNUMBER(Table1[[#This Row],[Max Package Thermal Density (W/cm2)]]),Table1[[#This Row],[Frequency (GHz)]]&gt;=170,Table1[[#This Row],[Frequency (GHz)]]&lt;260),Table1[[#This Row],[Max Package Thermal Density (W/cm2)]],#N/A)</f>
        <v>#N/A</v>
      </c>
      <c r="AK133" s="1" t="e">
        <f>IF(AND(ISNUMBER(Table1[[#This Row],[Max Package Thermal Density (W/cm2)]]),Table1[[#This Row],[Frequency (GHz)]]&gt;=260),Table1[[#This Row],[Max Package Thermal Density (W/cm2)]],#N/A)</f>
        <v>#N/A</v>
      </c>
      <c r="AN133" s="1" t="e">
        <f>IF(ISNUMBER(Table1[[#This Row],[Max Chip Thermal Density (W/cm2)]]),Table1[[#This Row],[Max Chip Thermal Density (W/cm2)]],#N/A)</f>
        <v>#N/A</v>
      </c>
      <c r="AO133" s="1" t="e">
        <f>IF(AND(ISNUMBER((Table1[[#This Row],[Max Chip Thermal Density (W/cm2)]])),Table1[[#This Row],[Frequency (GHz)]]&lt;20),Table1[[#This Row],[Max Chip Thermal Density (W/cm2)]],#N/A)</f>
        <v>#N/A</v>
      </c>
      <c r="AP133" s="1" t="e">
        <f>IF(AND(ISNUMBER(Table1[[#This Row],[Max Chip Thermal Density (W/cm2)]]),Table1[[#This Row],[Frequency (GHz)]]&gt;=20,Table1[[#This Row],[Frequency (GHz)]]&lt;50),Table1[[#This Row],[Max Chip Thermal Density (W/cm2)]],#N/A)</f>
        <v>#N/A</v>
      </c>
      <c r="AQ133" s="1" t="e">
        <f>IF(AND(ISNUMBER(Table1[[#This Row],[Max Chip Thermal Density (W/cm2)]]),Table1[[#This Row],[Frequency (GHz)]]&gt;=50,Table1[[#This Row],[Frequency (GHz)]]&lt;75),Table1[[#This Row],[Max Chip Thermal Density (W/cm2)]],#N/A)</f>
        <v>#N/A</v>
      </c>
      <c r="AR133" s="1" t="e">
        <f>IF(AND(ISNUMBER(Table1[[#This Row],[Max Chip Thermal Density (W/cm2)]]),Table1[[#This Row],[Frequency (GHz)]]&gt;=75,Table1[[#This Row],[Frequency (GHz)]]&lt;110),Table1[[#This Row],[Max Chip Thermal Density (W/cm2)]],#N/A)</f>
        <v>#N/A</v>
      </c>
      <c r="AS133" s="1" t="e">
        <f>IF(AND(ISNUMBER(Table1[[#This Row],[Max Chip Thermal Density (W/cm2)]]),Table1[[#This Row],[Frequency (GHz)]]&gt;=110,Table1[[#This Row],[Frequency (GHz)]]&lt;170),Table1[[#This Row],[Max Chip Thermal Density (W/cm2)]],#N/A)</f>
        <v>#N/A</v>
      </c>
      <c r="AT133" s="1" t="e">
        <f>IF(AND(ISNUMBER(Table1[[#This Row],[Max Chip Thermal Density (W/cm2)]]),Table1[[#This Row],[Frequency (GHz)]]&gt;=170,Table1[[#This Row],[Frequency (GHz)]]&lt;260),Table1[[#This Row],[Max Chip Thermal Density (W/cm2)]],#N/A)</f>
        <v>#N/A</v>
      </c>
      <c r="AU133" s="1" t="e">
        <f>IF(AND(ISNUMBER(Table1[[#This Row],[Max Chip Thermal Density (W/cm2)]]),Table1[[#This Row],[Frequency (GHz)]]&gt;=260),Table1[[#This Row],[Max Chip Thermal Density (W/cm2)]],#N/A)</f>
        <v>#N/A</v>
      </c>
    </row>
    <row r="134" spans="1:47" x14ac:dyDescent="0.2">
      <c r="A134" s="25" t="e">
        <f>IF(ISNUMBER(Table1[[#This Row],[Total Pout/Prad (dBm)]]),Table1[[#This Row],[Total Pout/Prad (dBm)]],#N/A)</f>
        <v>#N/A</v>
      </c>
      <c r="B134" s="1" t="e">
        <f>IF(ISNUMBER(Table1[[#This Row],[Total Pout/Prad (dBm)]]),Table1[[#This Row],[Total '# of TX Elements]],#N/A)</f>
        <v>#N/A</v>
      </c>
      <c r="C134" s="1" t="e">
        <f>IF(ISNUMBER(Table1[[#This Row],[TX EIRP (dBm)]]),Table1[[#This Row],[TX EIRP (dBm)]],#N/A)</f>
        <v>#N/A</v>
      </c>
      <c r="D134" s="1" t="str">
        <f>Table1[[#This Row],[TX Pdc (W)]]</f>
        <v>N/A</v>
      </c>
      <c r="E134"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34" s="1" t="e">
        <f t="shared" si="4"/>
        <v>#N/A</v>
      </c>
      <c r="G134" s="1" t="e">
        <f t="shared" si="5"/>
        <v>#N/A</v>
      </c>
      <c r="L134" s="1" t="e">
        <f>IF(Table1[[#This Row],[Frequency (GHz)]]&lt;20,Plot_Data_Power!F134,#N/A)</f>
        <v>#N/A</v>
      </c>
      <c r="M134" s="1" t="e">
        <f>IF(AND(Table1[[#This Row],[Frequency (GHz)]]&gt;=20,Table1[[#This Row],[Frequency (GHz)]]&lt;50),Plot_Data_Power!F134,#N/A)</f>
        <v>#N/A</v>
      </c>
      <c r="N134" s="1" t="e">
        <f>IF(AND(Table1[[#This Row],[Frequency (GHz)]]&gt;=50,Table1[[#This Row],[Frequency (GHz)]]&lt;75),Plot_Data_Power!F134,#N/A)</f>
        <v>#N/A</v>
      </c>
      <c r="O134" s="1" t="e">
        <f>IF(AND(Table1[[#This Row],[Frequency (GHz)]]&gt;=75,Table1[[#This Row],[Frequency (GHz)]]&lt;110),Plot_Data_Power!F134,#N/A)</f>
        <v>#N/A</v>
      </c>
      <c r="P134" s="1" t="e">
        <f>IF(AND(Table1[[#This Row],[Frequency (GHz)]]&gt;=110,Table1[[#This Row],[Frequency (GHz)]]&lt;170),Plot_Data_Power!F134,#N/A)</f>
        <v>#N/A</v>
      </c>
      <c r="Q134" s="1" t="e">
        <f>IF(AND(Table1[[#This Row],[Frequency (GHz)]]&gt;=170,Table1[[#This Row],[Frequency (GHz)]]&lt;260),Plot_Data_Power!F134,#N/A)</f>
        <v>#N/A</v>
      </c>
      <c r="R134" s="1" t="e">
        <f>IF(Table1[[#This Row],[Frequency (GHz)]]&gt;=260,Plot_Data_Power!F134,#N/A)</f>
        <v>#N/A</v>
      </c>
      <c r="U134" s="1" t="e">
        <f>IF(Table1[[#This Row],[Frequency (GHz)]]&lt;20,Plot_Data_Power!G134,#N/A)</f>
        <v>#N/A</v>
      </c>
      <c r="V134" s="1" t="e">
        <f>IF(AND(Table1[[#This Row],[Frequency (GHz)]]&gt;=20,Table1[[#This Row],[Frequency (GHz)]]&lt;50),Plot_Data_Power!G134,#N/A)</f>
        <v>#N/A</v>
      </c>
      <c r="W134" s="1" t="e">
        <f>IF(AND(Table1[[#This Row],[Frequency (GHz)]]&gt;=50,Table1[[#This Row],[Frequency (GHz)]]&lt;75),Plot_Data_Power!G134,#N/A)</f>
        <v>#N/A</v>
      </c>
      <c r="X134" s="1" t="e">
        <f>IF(AND(Table1[[#This Row],[Frequency (GHz)]]&gt;=75,Table1[[#This Row],[Frequency (GHz)]]&lt;110),Plot_Data_Power!G134,#N/A)</f>
        <v>#N/A</v>
      </c>
      <c r="Y134" s="1" t="e">
        <f>IF(AND(Table1[[#This Row],[Frequency (GHz)]]&gt;=110,Table1[[#This Row],[Frequency (GHz)]]&lt;170),Plot_Data_Power!G134,#N/A)</f>
        <v>#N/A</v>
      </c>
      <c r="Z134" s="1" t="e">
        <f>IF(AND(Table1[[#This Row],[Frequency (GHz)]]&gt;=170,Table1[[#This Row],[Frequency (GHz)]]&lt;260),Plot_Data_Power!G134,#N/A)</f>
        <v>#N/A</v>
      </c>
      <c r="AA134" s="1" t="e">
        <f>IF(Table1[[#This Row],[Frequency (GHz)]]&gt;=260,Plot_Data_Power!G134,#N/A)</f>
        <v>#N/A</v>
      </c>
      <c r="AD134" s="1" t="e">
        <f>IF(ISNUMBER(Table1[[#This Row],[Max Package Thermal Density (W/cm2)]]),Table1[[#This Row],[Max Package Thermal Density (W/cm2)]],#N/A)</f>
        <v>#N/A</v>
      </c>
      <c r="AE134" s="1" t="e">
        <f>IF(AND(ISNUMBER((Table1[[#This Row],[Max Package Thermal Density (W/cm2)]])),Table1[[#This Row],[Frequency (GHz)]]&lt;20),Table1[[#This Row],[Max Package Thermal Density (W/cm2)]],#N/A)</f>
        <v>#N/A</v>
      </c>
      <c r="AF134" s="1" t="e">
        <f>IF(AND(ISNUMBER(Table1[[#This Row],[Max Package Thermal Density (W/cm2)]]),Table1[[#This Row],[Frequency (GHz)]]&gt;=20,Table1[[#This Row],[Frequency (GHz)]]&lt;50),Table1[[#This Row],[Max Package Thermal Density (W/cm2)]],#N/A)</f>
        <v>#N/A</v>
      </c>
      <c r="AG134" s="1" t="e">
        <f>IF(AND(ISNUMBER(Table1[[#This Row],[Max Package Thermal Density (W/cm2)]]),Table1[[#This Row],[Frequency (GHz)]]&gt;=50,Table1[[#This Row],[Frequency (GHz)]]&lt;75),Table1[[#This Row],[Max Package Thermal Density (W/cm2)]],#N/A)</f>
        <v>#N/A</v>
      </c>
      <c r="AH134" s="1" t="e">
        <f>IF(AND(ISNUMBER(Table1[[#This Row],[Max Package Thermal Density (W/cm2)]]),Table1[[#This Row],[Frequency (GHz)]]&gt;=75,Table1[[#This Row],[Frequency (GHz)]]&lt;110),Table1[[#This Row],[Max Package Thermal Density (W/cm2)]],#N/A)</f>
        <v>#N/A</v>
      </c>
      <c r="AI134" s="1" t="e">
        <f>IF(AND(ISNUMBER(Table1[[#This Row],[Max Package Thermal Density (W/cm2)]]),Table1[[#This Row],[Frequency (GHz)]]&gt;=110,Table1[[#This Row],[Frequency (GHz)]]&lt;170),Table1[[#This Row],[Max Package Thermal Density (W/cm2)]],#N/A)</f>
        <v>#N/A</v>
      </c>
      <c r="AJ134" s="1" t="e">
        <f>IF(AND(ISNUMBER(Table1[[#This Row],[Max Package Thermal Density (W/cm2)]]),Table1[[#This Row],[Frequency (GHz)]]&gt;=170,Table1[[#This Row],[Frequency (GHz)]]&lt;260),Table1[[#This Row],[Max Package Thermal Density (W/cm2)]],#N/A)</f>
        <v>#N/A</v>
      </c>
      <c r="AK134" s="1" t="e">
        <f>IF(AND(ISNUMBER(Table1[[#This Row],[Max Package Thermal Density (W/cm2)]]),Table1[[#This Row],[Frequency (GHz)]]&gt;=260),Table1[[#This Row],[Max Package Thermal Density (W/cm2)]],#N/A)</f>
        <v>#N/A</v>
      </c>
      <c r="AN134" s="1">
        <f>IF(ISNUMBER(Table1[[#This Row],[Max Chip Thermal Density (W/cm2)]]),Table1[[#This Row],[Max Chip Thermal Density (W/cm2)]],#N/A)</f>
        <v>3.0749999999999997</v>
      </c>
      <c r="AO134" s="1" t="e">
        <f>IF(AND(ISNUMBER((Table1[[#This Row],[Max Chip Thermal Density (W/cm2)]])),Table1[[#This Row],[Frequency (GHz)]]&lt;20),Table1[[#This Row],[Max Chip Thermal Density (W/cm2)]],#N/A)</f>
        <v>#N/A</v>
      </c>
      <c r="AP134" s="1" t="e">
        <f>IF(AND(ISNUMBER(Table1[[#This Row],[Max Chip Thermal Density (W/cm2)]]),Table1[[#This Row],[Frequency (GHz)]]&gt;=20,Table1[[#This Row],[Frequency (GHz)]]&lt;50),Table1[[#This Row],[Max Chip Thermal Density (W/cm2)]],#N/A)</f>
        <v>#N/A</v>
      </c>
      <c r="AQ134" s="1" t="e">
        <f>IF(AND(ISNUMBER(Table1[[#This Row],[Max Chip Thermal Density (W/cm2)]]),Table1[[#This Row],[Frequency (GHz)]]&gt;=50,Table1[[#This Row],[Frequency (GHz)]]&lt;75),Table1[[#This Row],[Max Chip Thermal Density (W/cm2)]],#N/A)</f>
        <v>#N/A</v>
      </c>
      <c r="AR134" s="1" t="e">
        <f>IF(AND(ISNUMBER(Table1[[#This Row],[Max Chip Thermal Density (W/cm2)]]),Table1[[#This Row],[Frequency (GHz)]]&gt;=75,Table1[[#This Row],[Frequency (GHz)]]&lt;110),Table1[[#This Row],[Max Chip Thermal Density (W/cm2)]],#N/A)</f>
        <v>#N/A</v>
      </c>
      <c r="AS134" s="1">
        <f>IF(AND(ISNUMBER(Table1[[#This Row],[Max Chip Thermal Density (W/cm2)]]),Table1[[#This Row],[Frequency (GHz)]]&gt;=110,Table1[[#This Row],[Frequency (GHz)]]&lt;170),Table1[[#This Row],[Max Chip Thermal Density (W/cm2)]],#N/A)</f>
        <v>3.0749999999999997</v>
      </c>
      <c r="AT134" s="1" t="e">
        <f>IF(AND(ISNUMBER(Table1[[#This Row],[Max Chip Thermal Density (W/cm2)]]),Table1[[#This Row],[Frequency (GHz)]]&gt;=170,Table1[[#This Row],[Frequency (GHz)]]&lt;260),Table1[[#This Row],[Max Chip Thermal Density (W/cm2)]],#N/A)</f>
        <v>#N/A</v>
      </c>
      <c r="AU134" s="1" t="e">
        <f>IF(AND(ISNUMBER(Table1[[#This Row],[Max Chip Thermal Density (W/cm2)]]),Table1[[#This Row],[Frequency (GHz)]]&gt;=260),Table1[[#This Row],[Max Chip Thermal Density (W/cm2)]],#N/A)</f>
        <v>#N/A</v>
      </c>
    </row>
    <row r="135" spans="1:47" x14ac:dyDescent="0.2">
      <c r="A135" s="25" t="e">
        <f>IF(ISNUMBER(Table1[[#This Row],[Total Pout/Prad (dBm)]]),Table1[[#This Row],[Total Pout/Prad (dBm)]],#N/A)</f>
        <v>#N/A</v>
      </c>
      <c r="B135" s="1" t="e">
        <f>IF(ISNUMBER(Table1[[#This Row],[Total Pout/Prad (dBm)]]),Table1[[#This Row],[Total '# of TX Elements]],#N/A)</f>
        <v>#N/A</v>
      </c>
      <c r="C135" s="1" t="e">
        <f>IF(ISNUMBER(Table1[[#This Row],[TX EIRP (dBm)]]),Table1[[#This Row],[TX EIRP (dBm)]],#N/A)</f>
        <v>#N/A</v>
      </c>
      <c r="D135" s="1" t="str">
        <f>Table1[[#This Row],[TX Pdc (W)]]</f>
        <v>N/A</v>
      </c>
      <c r="E135"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35" s="1" t="e">
        <f t="shared" si="4"/>
        <v>#N/A</v>
      </c>
      <c r="G135" s="1" t="e">
        <f t="shared" si="5"/>
        <v>#N/A</v>
      </c>
      <c r="L135" s="1" t="e">
        <f>IF(Table1[[#This Row],[Frequency (GHz)]]&lt;20,Plot_Data_Power!F135,#N/A)</f>
        <v>#N/A</v>
      </c>
      <c r="M135" s="1" t="e">
        <f>IF(AND(Table1[[#This Row],[Frequency (GHz)]]&gt;=20,Table1[[#This Row],[Frequency (GHz)]]&lt;50),Plot_Data_Power!F135,#N/A)</f>
        <v>#N/A</v>
      </c>
      <c r="N135" s="1" t="e">
        <f>IF(AND(Table1[[#This Row],[Frequency (GHz)]]&gt;=50,Table1[[#This Row],[Frequency (GHz)]]&lt;75),Plot_Data_Power!F135,#N/A)</f>
        <v>#N/A</v>
      </c>
      <c r="O135" s="1" t="e">
        <f>IF(AND(Table1[[#This Row],[Frequency (GHz)]]&gt;=75,Table1[[#This Row],[Frequency (GHz)]]&lt;110),Plot_Data_Power!F135,#N/A)</f>
        <v>#N/A</v>
      </c>
      <c r="P135" s="1" t="e">
        <f>IF(AND(Table1[[#This Row],[Frequency (GHz)]]&gt;=110,Table1[[#This Row],[Frequency (GHz)]]&lt;170),Plot_Data_Power!F135,#N/A)</f>
        <v>#N/A</v>
      </c>
      <c r="Q135" s="1" t="e">
        <f>IF(AND(Table1[[#This Row],[Frequency (GHz)]]&gt;=170,Table1[[#This Row],[Frequency (GHz)]]&lt;260),Plot_Data_Power!F135,#N/A)</f>
        <v>#N/A</v>
      </c>
      <c r="R135" s="1" t="e">
        <f>IF(Table1[[#This Row],[Frequency (GHz)]]&gt;=260,Plot_Data_Power!F135,#N/A)</f>
        <v>#N/A</v>
      </c>
      <c r="U135" s="1" t="e">
        <f>IF(Table1[[#This Row],[Frequency (GHz)]]&lt;20,Plot_Data_Power!G135,#N/A)</f>
        <v>#N/A</v>
      </c>
      <c r="V135" s="1" t="e">
        <f>IF(AND(Table1[[#This Row],[Frequency (GHz)]]&gt;=20,Table1[[#This Row],[Frequency (GHz)]]&lt;50),Plot_Data_Power!G135,#N/A)</f>
        <v>#N/A</v>
      </c>
      <c r="W135" s="1" t="e">
        <f>IF(AND(Table1[[#This Row],[Frequency (GHz)]]&gt;=50,Table1[[#This Row],[Frequency (GHz)]]&lt;75),Plot_Data_Power!G135,#N/A)</f>
        <v>#N/A</v>
      </c>
      <c r="X135" s="1" t="e">
        <f>IF(AND(Table1[[#This Row],[Frequency (GHz)]]&gt;=75,Table1[[#This Row],[Frequency (GHz)]]&lt;110),Plot_Data_Power!G135,#N/A)</f>
        <v>#N/A</v>
      </c>
      <c r="Y135" s="1" t="e">
        <f>IF(AND(Table1[[#This Row],[Frequency (GHz)]]&gt;=110,Table1[[#This Row],[Frequency (GHz)]]&lt;170),Plot_Data_Power!G135,#N/A)</f>
        <v>#N/A</v>
      </c>
      <c r="Z135" s="1" t="e">
        <f>IF(AND(Table1[[#This Row],[Frequency (GHz)]]&gt;=170,Table1[[#This Row],[Frequency (GHz)]]&lt;260),Plot_Data_Power!G135,#N/A)</f>
        <v>#N/A</v>
      </c>
      <c r="AA135" s="1" t="e">
        <f>IF(Table1[[#This Row],[Frequency (GHz)]]&gt;=260,Plot_Data_Power!G135,#N/A)</f>
        <v>#N/A</v>
      </c>
      <c r="AD135" s="1" t="e">
        <f>IF(ISNUMBER(Table1[[#This Row],[Max Package Thermal Density (W/cm2)]]),Table1[[#This Row],[Max Package Thermal Density (W/cm2)]],#N/A)</f>
        <v>#N/A</v>
      </c>
      <c r="AE135" s="1" t="e">
        <f>IF(AND(ISNUMBER((Table1[[#This Row],[Max Package Thermal Density (W/cm2)]])),Table1[[#This Row],[Frequency (GHz)]]&lt;20),Table1[[#This Row],[Max Package Thermal Density (W/cm2)]],#N/A)</f>
        <v>#N/A</v>
      </c>
      <c r="AF135" s="1" t="e">
        <f>IF(AND(ISNUMBER(Table1[[#This Row],[Max Package Thermal Density (W/cm2)]]),Table1[[#This Row],[Frequency (GHz)]]&gt;=20,Table1[[#This Row],[Frequency (GHz)]]&lt;50),Table1[[#This Row],[Max Package Thermal Density (W/cm2)]],#N/A)</f>
        <v>#N/A</v>
      </c>
      <c r="AG135" s="1" t="e">
        <f>IF(AND(ISNUMBER(Table1[[#This Row],[Max Package Thermal Density (W/cm2)]]),Table1[[#This Row],[Frequency (GHz)]]&gt;=50,Table1[[#This Row],[Frequency (GHz)]]&lt;75),Table1[[#This Row],[Max Package Thermal Density (W/cm2)]],#N/A)</f>
        <v>#N/A</v>
      </c>
      <c r="AH135" s="1" t="e">
        <f>IF(AND(ISNUMBER(Table1[[#This Row],[Max Package Thermal Density (W/cm2)]]),Table1[[#This Row],[Frequency (GHz)]]&gt;=75,Table1[[#This Row],[Frequency (GHz)]]&lt;110),Table1[[#This Row],[Max Package Thermal Density (W/cm2)]],#N/A)</f>
        <v>#N/A</v>
      </c>
      <c r="AI135" s="1" t="e">
        <f>IF(AND(ISNUMBER(Table1[[#This Row],[Max Package Thermal Density (W/cm2)]]),Table1[[#This Row],[Frequency (GHz)]]&gt;=110,Table1[[#This Row],[Frequency (GHz)]]&lt;170),Table1[[#This Row],[Max Package Thermal Density (W/cm2)]],#N/A)</f>
        <v>#N/A</v>
      </c>
      <c r="AJ135" s="1" t="e">
        <f>IF(AND(ISNUMBER(Table1[[#This Row],[Max Package Thermal Density (W/cm2)]]),Table1[[#This Row],[Frequency (GHz)]]&gt;=170,Table1[[#This Row],[Frequency (GHz)]]&lt;260),Table1[[#This Row],[Max Package Thermal Density (W/cm2)]],#N/A)</f>
        <v>#N/A</v>
      </c>
      <c r="AK135" s="1" t="e">
        <f>IF(AND(ISNUMBER(Table1[[#This Row],[Max Package Thermal Density (W/cm2)]]),Table1[[#This Row],[Frequency (GHz)]]&gt;=260),Table1[[#This Row],[Max Package Thermal Density (W/cm2)]],#N/A)</f>
        <v>#N/A</v>
      </c>
      <c r="AN135" s="1">
        <f>IF(ISNUMBER(Table1[[#This Row],[Max Chip Thermal Density (W/cm2)]]),Table1[[#This Row],[Max Chip Thermal Density (W/cm2)]],#N/A)</f>
        <v>0.10727272727272728</v>
      </c>
      <c r="AO135" s="1" t="e">
        <f>IF(AND(ISNUMBER((Table1[[#This Row],[Max Chip Thermal Density (W/cm2)]])),Table1[[#This Row],[Frequency (GHz)]]&lt;20),Table1[[#This Row],[Max Chip Thermal Density (W/cm2)]],#N/A)</f>
        <v>#N/A</v>
      </c>
      <c r="AP135" s="1">
        <f>IF(AND(ISNUMBER(Table1[[#This Row],[Max Chip Thermal Density (W/cm2)]]),Table1[[#This Row],[Frequency (GHz)]]&gt;=20,Table1[[#This Row],[Frequency (GHz)]]&lt;50),Table1[[#This Row],[Max Chip Thermal Density (W/cm2)]],#N/A)</f>
        <v>0.10727272727272728</v>
      </c>
      <c r="AQ135" s="1" t="e">
        <f>IF(AND(ISNUMBER(Table1[[#This Row],[Max Chip Thermal Density (W/cm2)]]),Table1[[#This Row],[Frequency (GHz)]]&gt;=50,Table1[[#This Row],[Frequency (GHz)]]&lt;75),Table1[[#This Row],[Max Chip Thermal Density (W/cm2)]],#N/A)</f>
        <v>#N/A</v>
      </c>
      <c r="AR135" s="1" t="e">
        <f>IF(AND(ISNUMBER(Table1[[#This Row],[Max Chip Thermal Density (W/cm2)]]),Table1[[#This Row],[Frequency (GHz)]]&gt;=75,Table1[[#This Row],[Frequency (GHz)]]&lt;110),Table1[[#This Row],[Max Chip Thermal Density (W/cm2)]],#N/A)</f>
        <v>#N/A</v>
      </c>
      <c r="AS135" s="1" t="e">
        <f>IF(AND(ISNUMBER(Table1[[#This Row],[Max Chip Thermal Density (W/cm2)]]),Table1[[#This Row],[Frequency (GHz)]]&gt;=110,Table1[[#This Row],[Frequency (GHz)]]&lt;170),Table1[[#This Row],[Max Chip Thermal Density (W/cm2)]],#N/A)</f>
        <v>#N/A</v>
      </c>
      <c r="AT135" s="1" t="e">
        <f>IF(AND(ISNUMBER(Table1[[#This Row],[Max Chip Thermal Density (W/cm2)]]),Table1[[#This Row],[Frequency (GHz)]]&gt;=170,Table1[[#This Row],[Frequency (GHz)]]&lt;260),Table1[[#This Row],[Max Chip Thermal Density (W/cm2)]],#N/A)</f>
        <v>#N/A</v>
      </c>
      <c r="AU135" s="1" t="e">
        <f>IF(AND(ISNUMBER(Table1[[#This Row],[Max Chip Thermal Density (W/cm2)]]),Table1[[#This Row],[Frequency (GHz)]]&gt;=260),Table1[[#This Row],[Max Chip Thermal Density (W/cm2)]],#N/A)</f>
        <v>#N/A</v>
      </c>
    </row>
    <row r="136" spans="1:47" x14ac:dyDescent="0.2">
      <c r="A136" s="25" t="e">
        <f>IF(ISNUMBER(Table1[[#This Row],[Total Pout/Prad (dBm)]]),Table1[[#This Row],[Total Pout/Prad (dBm)]],#N/A)</f>
        <v>#N/A</v>
      </c>
      <c r="B136" s="1" t="e">
        <f>IF(ISNUMBER(Table1[[#This Row],[Total Pout/Prad (dBm)]]),Table1[[#This Row],[Total '# of TX Elements]],#N/A)</f>
        <v>#N/A</v>
      </c>
      <c r="C136" s="1" t="e">
        <f>IF(ISNUMBER(Table1[[#This Row],[TX EIRP (dBm)]]),Table1[[#This Row],[TX EIRP (dBm)]],#N/A)</f>
        <v>#N/A</v>
      </c>
      <c r="D136" s="1" t="str">
        <f>Table1[[#This Row],[TX Pdc (W)]]</f>
        <v>N/A</v>
      </c>
      <c r="E136" s="1">
        <f>IF(ISNUMBER(Table1[[#This Row],[Array Aperture Size (cm2)]]),Table1[[#This Row],[Array Aperture Size (cm2)]],IF(Table1[[#This Row],[Antenna on (None, Chip, AiP, PCB)]]="Chip",Table1[[#This Row],[Chip Core Size - X (mm)]]*Table1[[#This Row],[Chip Core Size -Y (mm)]]/100*Table1[[#This Row],['# of IC per Tile]]*Table1[[#This Row],['# of Array Tile]],#N/A))</f>
        <v>6.2410000000000009E-3</v>
      </c>
      <c r="F136" s="1" t="e">
        <f t="shared" si="4"/>
        <v>#N/A</v>
      </c>
      <c r="G136" s="1" t="e">
        <f t="shared" si="5"/>
        <v>#N/A</v>
      </c>
      <c r="L136" s="1" t="e">
        <f>IF(Table1[[#This Row],[Frequency (GHz)]]&lt;20,Plot_Data_Power!F136,#N/A)</f>
        <v>#N/A</v>
      </c>
      <c r="M136" s="1" t="e">
        <f>IF(AND(Table1[[#This Row],[Frequency (GHz)]]&gt;=20,Table1[[#This Row],[Frequency (GHz)]]&lt;50),Plot_Data_Power!F136,#N/A)</f>
        <v>#N/A</v>
      </c>
      <c r="N136" s="1" t="e">
        <f>IF(AND(Table1[[#This Row],[Frequency (GHz)]]&gt;=50,Table1[[#This Row],[Frequency (GHz)]]&lt;75),Plot_Data_Power!F136,#N/A)</f>
        <v>#N/A</v>
      </c>
      <c r="O136" s="1" t="e">
        <f>IF(AND(Table1[[#This Row],[Frequency (GHz)]]&gt;=75,Table1[[#This Row],[Frequency (GHz)]]&lt;110),Plot_Data_Power!F136,#N/A)</f>
        <v>#N/A</v>
      </c>
      <c r="P136" s="1" t="e">
        <f>IF(AND(Table1[[#This Row],[Frequency (GHz)]]&gt;=110,Table1[[#This Row],[Frequency (GHz)]]&lt;170),Plot_Data_Power!F136,#N/A)</f>
        <v>#N/A</v>
      </c>
      <c r="Q136" s="1" t="e">
        <f>IF(AND(Table1[[#This Row],[Frequency (GHz)]]&gt;=170,Table1[[#This Row],[Frequency (GHz)]]&lt;260),Plot_Data_Power!F136,#N/A)</f>
        <v>#N/A</v>
      </c>
      <c r="R136" s="1" t="e">
        <f>IF(Table1[[#This Row],[Frequency (GHz)]]&gt;=260,Plot_Data_Power!F136,#N/A)</f>
        <v>#N/A</v>
      </c>
      <c r="U136" s="1" t="e">
        <f>IF(Table1[[#This Row],[Frequency (GHz)]]&lt;20,Plot_Data_Power!G136,#N/A)</f>
        <v>#N/A</v>
      </c>
      <c r="V136" s="1" t="e">
        <f>IF(AND(Table1[[#This Row],[Frequency (GHz)]]&gt;=20,Table1[[#This Row],[Frequency (GHz)]]&lt;50),Plot_Data_Power!G136,#N/A)</f>
        <v>#N/A</v>
      </c>
      <c r="W136" s="1" t="e">
        <f>IF(AND(Table1[[#This Row],[Frequency (GHz)]]&gt;=50,Table1[[#This Row],[Frequency (GHz)]]&lt;75),Plot_Data_Power!G136,#N/A)</f>
        <v>#N/A</v>
      </c>
      <c r="X136" s="1" t="e">
        <f>IF(AND(Table1[[#This Row],[Frequency (GHz)]]&gt;=75,Table1[[#This Row],[Frequency (GHz)]]&lt;110),Plot_Data_Power!G136,#N/A)</f>
        <v>#N/A</v>
      </c>
      <c r="Y136" s="1" t="e">
        <f>IF(AND(Table1[[#This Row],[Frequency (GHz)]]&gt;=110,Table1[[#This Row],[Frequency (GHz)]]&lt;170),Plot_Data_Power!G136,#N/A)</f>
        <v>#N/A</v>
      </c>
      <c r="Z136" s="1" t="e">
        <f>IF(AND(Table1[[#This Row],[Frequency (GHz)]]&gt;=170,Table1[[#This Row],[Frequency (GHz)]]&lt;260),Plot_Data_Power!G136,#N/A)</f>
        <v>#N/A</v>
      </c>
      <c r="AA136" s="1" t="e">
        <f>IF(Table1[[#This Row],[Frequency (GHz)]]&gt;=260,Plot_Data_Power!G136,#N/A)</f>
        <v>#N/A</v>
      </c>
      <c r="AD136" s="1" t="e">
        <f>IF(ISNUMBER(Table1[[#This Row],[Max Package Thermal Density (W/cm2)]]),Table1[[#This Row],[Max Package Thermal Density (W/cm2)]],#N/A)</f>
        <v>#N/A</v>
      </c>
      <c r="AE136" s="1" t="e">
        <f>IF(AND(ISNUMBER((Table1[[#This Row],[Max Package Thermal Density (W/cm2)]])),Table1[[#This Row],[Frequency (GHz)]]&lt;20),Table1[[#This Row],[Max Package Thermal Density (W/cm2)]],#N/A)</f>
        <v>#N/A</v>
      </c>
      <c r="AF136" s="1" t="e">
        <f>IF(AND(ISNUMBER(Table1[[#This Row],[Max Package Thermal Density (W/cm2)]]),Table1[[#This Row],[Frequency (GHz)]]&gt;=20,Table1[[#This Row],[Frequency (GHz)]]&lt;50),Table1[[#This Row],[Max Package Thermal Density (W/cm2)]],#N/A)</f>
        <v>#N/A</v>
      </c>
      <c r="AG136" s="1" t="e">
        <f>IF(AND(ISNUMBER(Table1[[#This Row],[Max Package Thermal Density (W/cm2)]]),Table1[[#This Row],[Frequency (GHz)]]&gt;=50,Table1[[#This Row],[Frequency (GHz)]]&lt;75),Table1[[#This Row],[Max Package Thermal Density (W/cm2)]],#N/A)</f>
        <v>#N/A</v>
      </c>
      <c r="AH136" s="1" t="e">
        <f>IF(AND(ISNUMBER(Table1[[#This Row],[Max Package Thermal Density (W/cm2)]]),Table1[[#This Row],[Frequency (GHz)]]&gt;=75,Table1[[#This Row],[Frequency (GHz)]]&lt;110),Table1[[#This Row],[Max Package Thermal Density (W/cm2)]],#N/A)</f>
        <v>#N/A</v>
      </c>
      <c r="AI136" s="1" t="e">
        <f>IF(AND(ISNUMBER(Table1[[#This Row],[Max Package Thermal Density (W/cm2)]]),Table1[[#This Row],[Frequency (GHz)]]&gt;=110,Table1[[#This Row],[Frequency (GHz)]]&lt;170),Table1[[#This Row],[Max Package Thermal Density (W/cm2)]],#N/A)</f>
        <v>#N/A</v>
      </c>
      <c r="AJ136" s="1" t="e">
        <f>IF(AND(ISNUMBER(Table1[[#This Row],[Max Package Thermal Density (W/cm2)]]),Table1[[#This Row],[Frequency (GHz)]]&gt;=170,Table1[[#This Row],[Frequency (GHz)]]&lt;260),Table1[[#This Row],[Max Package Thermal Density (W/cm2)]],#N/A)</f>
        <v>#N/A</v>
      </c>
      <c r="AK136" s="1" t="e">
        <f>IF(AND(ISNUMBER(Table1[[#This Row],[Max Package Thermal Density (W/cm2)]]),Table1[[#This Row],[Frequency (GHz)]]&gt;=260),Table1[[#This Row],[Max Package Thermal Density (W/cm2)]],#N/A)</f>
        <v>#N/A</v>
      </c>
      <c r="AN136" s="1" t="e">
        <f>IF(ISNUMBER(Table1[[#This Row],[Max Chip Thermal Density (W/cm2)]]),Table1[[#This Row],[Max Chip Thermal Density (W/cm2)]],#N/A)</f>
        <v>#N/A</v>
      </c>
      <c r="AO136" s="1" t="e">
        <f>IF(AND(ISNUMBER((Table1[[#This Row],[Max Chip Thermal Density (W/cm2)]])),Table1[[#This Row],[Frequency (GHz)]]&lt;20),Table1[[#This Row],[Max Chip Thermal Density (W/cm2)]],#N/A)</f>
        <v>#N/A</v>
      </c>
      <c r="AP136" s="1" t="e">
        <f>IF(AND(ISNUMBER(Table1[[#This Row],[Max Chip Thermal Density (W/cm2)]]),Table1[[#This Row],[Frequency (GHz)]]&gt;=20,Table1[[#This Row],[Frequency (GHz)]]&lt;50),Table1[[#This Row],[Max Chip Thermal Density (W/cm2)]],#N/A)</f>
        <v>#N/A</v>
      </c>
      <c r="AQ136" s="1" t="e">
        <f>IF(AND(ISNUMBER(Table1[[#This Row],[Max Chip Thermal Density (W/cm2)]]),Table1[[#This Row],[Frequency (GHz)]]&gt;=50,Table1[[#This Row],[Frequency (GHz)]]&lt;75),Table1[[#This Row],[Max Chip Thermal Density (W/cm2)]],#N/A)</f>
        <v>#N/A</v>
      </c>
      <c r="AR136" s="1" t="e">
        <f>IF(AND(ISNUMBER(Table1[[#This Row],[Max Chip Thermal Density (W/cm2)]]),Table1[[#This Row],[Frequency (GHz)]]&gt;=75,Table1[[#This Row],[Frequency (GHz)]]&lt;110),Table1[[#This Row],[Max Chip Thermal Density (W/cm2)]],#N/A)</f>
        <v>#N/A</v>
      </c>
      <c r="AS136" s="1" t="e">
        <f>IF(AND(ISNUMBER(Table1[[#This Row],[Max Chip Thermal Density (W/cm2)]]),Table1[[#This Row],[Frequency (GHz)]]&gt;=110,Table1[[#This Row],[Frequency (GHz)]]&lt;170),Table1[[#This Row],[Max Chip Thermal Density (W/cm2)]],#N/A)</f>
        <v>#N/A</v>
      </c>
      <c r="AT136" s="1" t="e">
        <f>IF(AND(ISNUMBER(Table1[[#This Row],[Max Chip Thermal Density (W/cm2)]]),Table1[[#This Row],[Frequency (GHz)]]&gt;=170,Table1[[#This Row],[Frequency (GHz)]]&lt;260),Table1[[#This Row],[Max Chip Thermal Density (W/cm2)]],#N/A)</f>
        <v>#N/A</v>
      </c>
      <c r="AU136" s="1" t="e">
        <f>IF(AND(ISNUMBER(Table1[[#This Row],[Max Chip Thermal Density (W/cm2)]]),Table1[[#This Row],[Frequency (GHz)]]&gt;=260),Table1[[#This Row],[Max Chip Thermal Density (W/cm2)]],#N/A)</f>
        <v>#N/A</v>
      </c>
    </row>
    <row r="137" spans="1:47" x14ac:dyDescent="0.2">
      <c r="A137" s="25">
        <f>IF(ISNUMBER(Table1[[#This Row],[Total Pout/Prad (dBm)]]),Table1[[#This Row],[Total Pout/Prad (dBm)]],#N/A)</f>
        <v>34.082399653118493</v>
      </c>
      <c r="B137" s="1">
        <f>IF(ISNUMBER(Table1[[#This Row],[Total Pout/Prad (dBm)]]),Table1[[#This Row],[Total '# of TX Elements]],#N/A)</f>
        <v>256</v>
      </c>
      <c r="C137" s="1">
        <f>IF(ISNUMBER(Table1[[#This Row],[TX EIRP (dBm)]]),Table1[[#This Row],[TX EIRP (dBm)]],#N/A)</f>
        <v>63.8</v>
      </c>
      <c r="D137" s="1">
        <f>Table1[[#This Row],[TX Pdc (W)]]</f>
        <v>26.6</v>
      </c>
      <c r="E137"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37" s="1">
        <f t="shared" si="4"/>
        <v>9.6240601503759393</v>
      </c>
      <c r="G137" s="1">
        <f t="shared" si="5"/>
        <v>9018.1688684943347</v>
      </c>
      <c r="L137" s="1" t="e">
        <f>IF(Table1[[#This Row],[Frequency (GHz)]]&lt;20,Plot_Data_Power!F137,#N/A)</f>
        <v>#N/A</v>
      </c>
      <c r="M137" s="1">
        <f>IF(AND(Table1[[#This Row],[Frequency (GHz)]]&gt;=20,Table1[[#This Row],[Frequency (GHz)]]&lt;50),Plot_Data_Power!F137,#N/A)</f>
        <v>9.6240601503759393</v>
      </c>
      <c r="N137" s="1" t="e">
        <f>IF(AND(Table1[[#This Row],[Frequency (GHz)]]&gt;=50,Table1[[#This Row],[Frequency (GHz)]]&lt;75),Plot_Data_Power!F137,#N/A)</f>
        <v>#N/A</v>
      </c>
      <c r="O137" s="1" t="e">
        <f>IF(AND(Table1[[#This Row],[Frequency (GHz)]]&gt;=75,Table1[[#This Row],[Frequency (GHz)]]&lt;110),Plot_Data_Power!F137,#N/A)</f>
        <v>#N/A</v>
      </c>
      <c r="P137" s="1" t="e">
        <f>IF(AND(Table1[[#This Row],[Frequency (GHz)]]&gt;=110,Table1[[#This Row],[Frequency (GHz)]]&lt;170),Plot_Data_Power!F137,#N/A)</f>
        <v>#N/A</v>
      </c>
      <c r="Q137" s="1" t="e">
        <f>IF(AND(Table1[[#This Row],[Frequency (GHz)]]&gt;=170,Table1[[#This Row],[Frequency (GHz)]]&lt;260),Plot_Data_Power!F137,#N/A)</f>
        <v>#N/A</v>
      </c>
      <c r="R137" s="1" t="e">
        <f>IF(Table1[[#This Row],[Frequency (GHz)]]&gt;=260,Plot_Data_Power!F137,#N/A)</f>
        <v>#N/A</v>
      </c>
      <c r="U137" s="1" t="e">
        <f>IF(Table1[[#This Row],[Frequency (GHz)]]&lt;20,Plot_Data_Power!G137,#N/A)</f>
        <v>#N/A</v>
      </c>
      <c r="V137" s="1">
        <f>IF(AND(Table1[[#This Row],[Frequency (GHz)]]&gt;=20,Table1[[#This Row],[Frequency (GHz)]]&lt;50),Plot_Data_Power!G137,#N/A)</f>
        <v>9018.1688684943347</v>
      </c>
      <c r="W137" s="1" t="e">
        <f>IF(AND(Table1[[#This Row],[Frequency (GHz)]]&gt;=50,Table1[[#This Row],[Frequency (GHz)]]&lt;75),Plot_Data_Power!G137,#N/A)</f>
        <v>#N/A</v>
      </c>
      <c r="X137" s="1" t="e">
        <f>IF(AND(Table1[[#This Row],[Frequency (GHz)]]&gt;=75,Table1[[#This Row],[Frequency (GHz)]]&lt;110),Plot_Data_Power!G137,#N/A)</f>
        <v>#N/A</v>
      </c>
      <c r="Y137" s="1" t="e">
        <f>IF(AND(Table1[[#This Row],[Frequency (GHz)]]&gt;=110,Table1[[#This Row],[Frequency (GHz)]]&lt;170),Plot_Data_Power!G137,#N/A)</f>
        <v>#N/A</v>
      </c>
      <c r="Z137" s="1" t="e">
        <f>IF(AND(Table1[[#This Row],[Frequency (GHz)]]&gt;=170,Table1[[#This Row],[Frequency (GHz)]]&lt;260),Plot_Data_Power!G137,#N/A)</f>
        <v>#N/A</v>
      </c>
      <c r="AA137" s="1" t="e">
        <f>IF(Table1[[#This Row],[Frequency (GHz)]]&gt;=260,Plot_Data_Power!G137,#N/A)</f>
        <v>#N/A</v>
      </c>
      <c r="AD137" s="1" t="e">
        <f>IF(ISNUMBER(Table1[[#This Row],[Max Package Thermal Density (W/cm2)]]),Table1[[#This Row],[Max Package Thermal Density (W/cm2)]],#N/A)</f>
        <v>#N/A</v>
      </c>
      <c r="AE137" s="1" t="e">
        <f>IF(AND(ISNUMBER((Table1[[#This Row],[Max Package Thermal Density (W/cm2)]])),Table1[[#This Row],[Frequency (GHz)]]&lt;20),Table1[[#This Row],[Max Package Thermal Density (W/cm2)]],#N/A)</f>
        <v>#N/A</v>
      </c>
      <c r="AF137" s="1" t="e">
        <f>IF(AND(ISNUMBER(Table1[[#This Row],[Max Package Thermal Density (W/cm2)]]),Table1[[#This Row],[Frequency (GHz)]]&gt;=20,Table1[[#This Row],[Frequency (GHz)]]&lt;50),Table1[[#This Row],[Max Package Thermal Density (W/cm2)]],#N/A)</f>
        <v>#N/A</v>
      </c>
      <c r="AG137" s="1" t="e">
        <f>IF(AND(ISNUMBER(Table1[[#This Row],[Max Package Thermal Density (W/cm2)]]),Table1[[#This Row],[Frequency (GHz)]]&gt;=50,Table1[[#This Row],[Frequency (GHz)]]&lt;75),Table1[[#This Row],[Max Package Thermal Density (W/cm2)]],#N/A)</f>
        <v>#N/A</v>
      </c>
      <c r="AH137" s="1" t="e">
        <f>IF(AND(ISNUMBER(Table1[[#This Row],[Max Package Thermal Density (W/cm2)]]),Table1[[#This Row],[Frequency (GHz)]]&gt;=75,Table1[[#This Row],[Frequency (GHz)]]&lt;110),Table1[[#This Row],[Max Package Thermal Density (W/cm2)]],#N/A)</f>
        <v>#N/A</v>
      </c>
      <c r="AI137" s="1" t="e">
        <f>IF(AND(ISNUMBER(Table1[[#This Row],[Max Package Thermal Density (W/cm2)]]),Table1[[#This Row],[Frequency (GHz)]]&gt;=110,Table1[[#This Row],[Frequency (GHz)]]&lt;170),Table1[[#This Row],[Max Package Thermal Density (W/cm2)]],#N/A)</f>
        <v>#N/A</v>
      </c>
      <c r="AJ137" s="1" t="e">
        <f>IF(AND(ISNUMBER(Table1[[#This Row],[Max Package Thermal Density (W/cm2)]]),Table1[[#This Row],[Frequency (GHz)]]&gt;=170,Table1[[#This Row],[Frequency (GHz)]]&lt;260),Table1[[#This Row],[Max Package Thermal Density (W/cm2)]],#N/A)</f>
        <v>#N/A</v>
      </c>
      <c r="AK137" s="1" t="e">
        <f>IF(AND(ISNUMBER(Table1[[#This Row],[Max Package Thermal Density (W/cm2)]]),Table1[[#This Row],[Frequency (GHz)]]&gt;=260),Table1[[#This Row],[Max Package Thermal Density (W/cm2)]],#N/A)</f>
        <v>#N/A</v>
      </c>
      <c r="AN137" s="1">
        <f>IF(ISNUMBER(Table1[[#This Row],[Max Chip Thermal Density (W/cm2)]]),Table1[[#This Row],[Max Chip Thermal Density (W/cm2)]],#N/A)</f>
        <v>3.7784090909090913</v>
      </c>
      <c r="AO137" s="1" t="e">
        <f>IF(AND(ISNUMBER((Table1[[#This Row],[Max Chip Thermal Density (W/cm2)]])),Table1[[#This Row],[Frequency (GHz)]]&lt;20),Table1[[#This Row],[Max Chip Thermal Density (W/cm2)]],#N/A)</f>
        <v>#N/A</v>
      </c>
      <c r="AP137" s="1">
        <f>IF(AND(ISNUMBER(Table1[[#This Row],[Max Chip Thermal Density (W/cm2)]]),Table1[[#This Row],[Frequency (GHz)]]&gt;=20,Table1[[#This Row],[Frequency (GHz)]]&lt;50),Table1[[#This Row],[Max Chip Thermal Density (W/cm2)]],#N/A)</f>
        <v>3.7784090909090913</v>
      </c>
      <c r="AQ137" s="1" t="e">
        <f>IF(AND(ISNUMBER(Table1[[#This Row],[Max Chip Thermal Density (W/cm2)]]),Table1[[#This Row],[Frequency (GHz)]]&gt;=50,Table1[[#This Row],[Frequency (GHz)]]&lt;75),Table1[[#This Row],[Max Chip Thermal Density (W/cm2)]],#N/A)</f>
        <v>#N/A</v>
      </c>
      <c r="AR137" s="1" t="e">
        <f>IF(AND(ISNUMBER(Table1[[#This Row],[Max Chip Thermal Density (W/cm2)]]),Table1[[#This Row],[Frequency (GHz)]]&gt;=75,Table1[[#This Row],[Frequency (GHz)]]&lt;110),Table1[[#This Row],[Max Chip Thermal Density (W/cm2)]],#N/A)</f>
        <v>#N/A</v>
      </c>
      <c r="AS137" s="1" t="e">
        <f>IF(AND(ISNUMBER(Table1[[#This Row],[Max Chip Thermal Density (W/cm2)]]),Table1[[#This Row],[Frequency (GHz)]]&gt;=110,Table1[[#This Row],[Frequency (GHz)]]&lt;170),Table1[[#This Row],[Max Chip Thermal Density (W/cm2)]],#N/A)</f>
        <v>#N/A</v>
      </c>
      <c r="AT137" s="1" t="e">
        <f>IF(AND(ISNUMBER(Table1[[#This Row],[Max Chip Thermal Density (W/cm2)]]),Table1[[#This Row],[Frequency (GHz)]]&gt;=170,Table1[[#This Row],[Frequency (GHz)]]&lt;260),Table1[[#This Row],[Max Chip Thermal Density (W/cm2)]],#N/A)</f>
        <v>#N/A</v>
      </c>
      <c r="AU137" s="1" t="e">
        <f>IF(AND(ISNUMBER(Table1[[#This Row],[Max Chip Thermal Density (W/cm2)]]),Table1[[#This Row],[Frequency (GHz)]]&gt;=260),Table1[[#This Row],[Max Chip Thermal Density (W/cm2)]],#N/A)</f>
        <v>#N/A</v>
      </c>
    </row>
    <row r="138" spans="1:47" x14ac:dyDescent="0.2">
      <c r="A138" s="25">
        <f>IF(ISNUMBER(Table1[[#This Row],[Total Pout/Prad (dBm)]]),Table1[[#This Row],[Total Pout/Prad (dBm)]],#N/A)</f>
        <v>10</v>
      </c>
      <c r="B138" s="1">
        <f>IF(ISNUMBER(Table1[[#This Row],[Total Pout/Prad (dBm)]]),Table1[[#This Row],[Total '# of TX Elements]],#N/A)</f>
        <v>1</v>
      </c>
      <c r="C138" s="1" t="e">
        <f>IF(ISNUMBER(Table1[[#This Row],[TX EIRP (dBm)]]),Table1[[#This Row],[TX EIRP (dBm)]],#N/A)</f>
        <v>#N/A</v>
      </c>
      <c r="D138" s="1">
        <f>Table1[[#This Row],[TX Pdc (W)]]</f>
        <v>0.16</v>
      </c>
      <c r="E138"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38" s="1">
        <f t="shared" si="4"/>
        <v>6.25</v>
      </c>
      <c r="G138" s="1" t="e">
        <f t="shared" si="5"/>
        <v>#N/A</v>
      </c>
      <c r="L138" s="1" t="e">
        <f>IF(Table1[[#This Row],[Frequency (GHz)]]&lt;20,Plot_Data_Power!F138,#N/A)</f>
        <v>#N/A</v>
      </c>
      <c r="M138" s="1" t="e">
        <f>IF(AND(Table1[[#This Row],[Frequency (GHz)]]&gt;=20,Table1[[#This Row],[Frequency (GHz)]]&lt;50),Plot_Data_Power!F138,#N/A)</f>
        <v>#N/A</v>
      </c>
      <c r="N138" s="1" t="e">
        <f>IF(AND(Table1[[#This Row],[Frequency (GHz)]]&gt;=50,Table1[[#This Row],[Frequency (GHz)]]&lt;75),Plot_Data_Power!F138,#N/A)</f>
        <v>#N/A</v>
      </c>
      <c r="O138" s="1">
        <f>IF(AND(Table1[[#This Row],[Frequency (GHz)]]&gt;=75,Table1[[#This Row],[Frequency (GHz)]]&lt;110),Plot_Data_Power!F138,#N/A)</f>
        <v>6.25</v>
      </c>
      <c r="P138" s="1" t="e">
        <f>IF(AND(Table1[[#This Row],[Frequency (GHz)]]&gt;=110,Table1[[#This Row],[Frequency (GHz)]]&lt;170),Plot_Data_Power!F138,#N/A)</f>
        <v>#N/A</v>
      </c>
      <c r="Q138" s="1" t="e">
        <f>IF(AND(Table1[[#This Row],[Frequency (GHz)]]&gt;=170,Table1[[#This Row],[Frequency (GHz)]]&lt;260),Plot_Data_Power!F138,#N/A)</f>
        <v>#N/A</v>
      </c>
      <c r="R138" s="1" t="e">
        <f>IF(Table1[[#This Row],[Frequency (GHz)]]&gt;=260,Plot_Data_Power!F138,#N/A)</f>
        <v>#N/A</v>
      </c>
      <c r="U138" s="1" t="e">
        <f>IF(Table1[[#This Row],[Frequency (GHz)]]&lt;20,Plot_Data_Power!G138,#N/A)</f>
        <v>#N/A</v>
      </c>
      <c r="V138" s="1" t="e">
        <f>IF(AND(Table1[[#This Row],[Frequency (GHz)]]&gt;=20,Table1[[#This Row],[Frequency (GHz)]]&lt;50),Plot_Data_Power!G138,#N/A)</f>
        <v>#N/A</v>
      </c>
      <c r="W138" s="1" t="e">
        <f>IF(AND(Table1[[#This Row],[Frequency (GHz)]]&gt;=50,Table1[[#This Row],[Frequency (GHz)]]&lt;75),Plot_Data_Power!G138,#N/A)</f>
        <v>#N/A</v>
      </c>
      <c r="X138" s="1" t="e">
        <f>IF(AND(Table1[[#This Row],[Frequency (GHz)]]&gt;=75,Table1[[#This Row],[Frequency (GHz)]]&lt;110),Plot_Data_Power!G138,#N/A)</f>
        <v>#N/A</v>
      </c>
      <c r="Y138" s="1" t="e">
        <f>IF(AND(Table1[[#This Row],[Frequency (GHz)]]&gt;=110,Table1[[#This Row],[Frequency (GHz)]]&lt;170),Plot_Data_Power!G138,#N/A)</f>
        <v>#N/A</v>
      </c>
      <c r="Z138" s="1" t="e">
        <f>IF(AND(Table1[[#This Row],[Frequency (GHz)]]&gt;=170,Table1[[#This Row],[Frequency (GHz)]]&lt;260),Plot_Data_Power!G138,#N/A)</f>
        <v>#N/A</v>
      </c>
      <c r="AA138" s="1" t="e">
        <f>IF(Table1[[#This Row],[Frequency (GHz)]]&gt;=260,Plot_Data_Power!G138,#N/A)</f>
        <v>#N/A</v>
      </c>
      <c r="AD138" s="1" t="e">
        <f>IF(ISNUMBER(Table1[[#This Row],[Max Package Thermal Density (W/cm2)]]),Table1[[#This Row],[Max Package Thermal Density (W/cm2)]],#N/A)</f>
        <v>#N/A</v>
      </c>
      <c r="AE138" s="1" t="e">
        <f>IF(AND(ISNUMBER((Table1[[#This Row],[Max Package Thermal Density (W/cm2)]])),Table1[[#This Row],[Frequency (GHz)]]&lt;20),Table1[[#This Row],[Max Package Thermal Density (W/cm2)]],#N/A)</f>
        <v>#N/A</v>
      </c>
      <c r="AF138" s="1" t="e">
        <f>IF(AND(ISNUMBER(Table1[[#This Row],[Max Package Thermal Density (W/cm2)]]),Table1[[#This Row],[Frequency (GHz)]]&gt;=20,Table1[[#This Row],[Frequency (GHz)]]&lt;50),Table1[[#This Row],[Max Package Thermal Density (W/cm2)]],#N/A)</f>
        <v>#N/A</v>
      </c>
      <c r="AG138" s="1" t="e">
        <f>IF(AND(ISNUMBER(Table1[[#This Row],[Max Package Thermal Density (W/cm2)]]),Table1[[#This Row],[Frequency (GHz)]]&gt;=50,Table1[[#This Row],[Frequency (GHz)]]&lt;75),Table1[[#This Row],[Max Package Thermal Density (W/cm2)]],#N/A)</f>
        <v>#N/A</v>
      </c>
      <c r="AH138" s="1" t="e">
        <f>IF(AND(ISNUMBER(Table1[[#This Row],[Max Package Thermal Density (W/cm2)]]),Table1[[#This Row],[Frequency (GHz)]]&gt;=75,Table1[[#This Row],[Frequency (GHz)]]&lt;110),Table1[[#This Row],[Max Package Thermal Density (W/cm2)]],#N/A)</f>
        <v>#N/A</v>
      </c>
      <c r="AI138" s="1" t="e">
        <f>IF(AND(ISNUMBER(Table1[[#This Row],[Max Package Thermal Density (W/cm2)]]),Table1[[#This Row],[Frequency (GHz)]]&gt;=110,Table1[[#This Row],[Frequency (GHz)]]&lt;170),Table1[[#This Row],[Max Package Thermal Density (W/cm2)]],#N/A)</f>
        <v>#N/A</v>
      </c>
      <c r="AJ138" s="1" t="e">
        <f>IF(AND(ISNUMBER(Table1[[#This Row],[Max Package Thermal Density (W/cm2)]]),Table1[[#This Row],[Frequency (GHz)]]&gt;=170,Table1[[#This Row],[Frequency (GHz)]]&lt;260),Table1[[#This Row],[Max Package Thermal Density (W/cm2)]],#N/A)</f>
        <v>#N/A</v>
      </c>
      <c r="AK138" s="1" t="e">
        <f>IF(AND(ISNUMBER(Table1[[#This Row],[Max Package Thermal Density (W/cm2)]]),Table1[[#This Row],[Frequency (GHz)]]&gt;=260),Table1[[#This Row],[Max Package Thermal Density (W/cm2)]],#N/A)</f>
        <v>#N/A</v>
      </c>
      <c r="AN138" s="1">
        <f>IF(ISNUMBER(Table1[[#This Row],[Max Chip Thermal Density (W/cm2)]]),Table1[[#This Row],[Max Chip Thermal Density (W/cm2)]],#N/A)</f>
        <v>18.71345029239766</v>
      </c>
      <c r="AO138" s="1" t="e">
        <f>IF(AND(ISNUMBER((Table1[[#This Row],[Max Chip Thermal Density (W/cm2)]])),Table1[[#This Row],[Frequency (GHz)]]&lt;20),Table1[[#This Row],[Max Chip Thermal Density (W/cm2)]],#N/A)</f>
        <v>#N/A</v>
      </c>
      <c r="AP138" s="1" t="e">
        <f>IF(AND(ISNUMBER(Table1[[#This Row],[Max Chip Thermal Density (W/cm2)]]),Table1[[#This Row],[Frequency (GHz)]]&gt;=20,Table1[[#This Row],[Frequency (GHz)]]&lt;50),Table1[[#This Row],[Max Chip Thermal Density (W/cm2)]],#N/A)</f>
        <v>#N/A</v>
      </c>
      <c r="AQ138" s="1" t="e">
        <f>IF(AND(ISNUMBER(Table1[[#This Row],[Max Chip Thermal Density (W/cm2)]]),Table1[[#This Row],[Frequency (GHz)]]&gt;=50,Table1[[#This Row],[Frequency (GHz)]]&lt;75),Table1[[#This Row],[Max Chip Thermal Density (W/cm2)]],#N/A)</f>
        <v>#N/A</v>
      </c>
      <c r="AR138" s="1">
        <f>IF(AND(ISNUMBER(Table1[[#This Row],[Max Chip Thermal Density (W/cm2)]]),Table1[[#This Row],[Frequency (GHz)]]&gt;=75,Table1[[#This Row],[Frequency (GHz)]]&lt;110),Table1[[#This Row],[Max Chip Thermal Density (W/cm2)]],#N/A)</f>
        <v>18.71345029239766</v>
      </c>
      <c r="AS138" s="1" t="e">
        <f>IF(AND(ISNUMBER(Table1[[#This Row],[Max Chip Thermal Density (W/cm2)]]),Table1[[#This Row],[Frequency (GHz)]]&gt;=110,Table1[[#This Row],[Frequency (GHz)]]&lt;170),Table1[[#This Row],[Max Chip Thermal Density (W/cm2)]],#N/A)</f>
        <v>#N/A</v>
      </c>
      <c r="AT138" s="1" t="e">
        <f>IF(AND(ISNUMBER(Table1[[#This Row],[Max Chip Thermal Density (W/cm2)]]),Table1[[#This Row],[Frequency (GHz)]]&gt;=170,Table1[[#This Row],[Frequency (GHz)]]&lt;260),Table1[[#This Row],[Max Chip Thermal Density (W/cm2)]],#N/A)</f>
        <v>#N/A</v>
      </c>
      <c r="AU138" s="1" t="e">
        <f>IF(AND(ISNUMBER(Table1[[#This Row],[Max Chip Thermal Density (W/cm2)]]),Table1[[#This Row],[Frequency (GHz)]]&gt;=260),Table1[[#This Row],[Max Chip Thermal Density (W/cm2)]],#N/A)</f>
        <v>#N/A</v>
      </c>
    </row>
    <row r="139" spans="1:47" x14ac:dyDescent="0.2">
      <c r="A139" s="25" t="e">
        <f>IF(ISNUMBER(Table1[[#This Row],[Total Pout/Prad (dBm)]]),Table1[[#This Row],[Total Pout/Prad (dBm)]],#N/A)</f>
        <v>#N/A</v>
      </c>
      <c r="B139" s="1" t="e">
        <f>IF(ISNUMBER(Table1[[#This Row],[Total Pout/Prad (dBm)]]),Table1[[#This Row],[Total '# of TX Elements]],#N/A)</f>
        <v>#N/A</v>
      </c>
      <c r="C139" s="1" t="e">
        <f>IF(ISNUMBER(Table1[[#This Row],[TX EIRP (dBm)]]),Table1[[#This Row],[TX EIRP (dBm)]],#N/A)</f>
        <v>#N/A</v>
      </c>
      <c r="D139" s="1" t="str">
        <f>Table1[[#This Row],[TX Pdc (W)]]</f>
        <v>N/A</v>
      </c>
      <c r="E139"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39" s="1" t="e">
        <f t="shared" si="4"/>
        <v>#N/A</v>
      </c>
      <c r="G139" s="1" t="e">
        <f t="shared" si="5"/>
        <v>#N/A</v>
      </c>
      <c r="L139" s="1" t="e">
        <f>IF(Table1[[#This Row],[Frequency (GHz)]]&lt;20,Plot_Data_Power!F139,#N/A)</f>
        <v>#N/A</v>
      </c>
      <c r="M139" s="1" t="e">
        <f>IF(AND(Table1[[#This Row],[Frequency (GHz)]]&gt;=20,Table1[[#This Row],[Frequency (GHz)]]&lt;50),Plot_Data_Power!F139,#N/A)</f>
        <v>#N/A</v>
      </c>
      <c r="N139" s="1" t="e">
        <f>IF(AND(Table1[[#This Row],[Frequency (GHz)]]&gt;=50,Table1[[#This Row],[Frequency (GHz)]]&lt;75),Plot_Data_Power!F139,#N/A)</f>
        <v>#N/A</v>
      </c>
      <c r="O139" s="1" t="e">
        <f>IF(AND(Table1[[#This Row],[Frequency (GHz)]]&gt;=75,Table1[[#This Row],[Frequency (GHz)]]&lt;110),Plot_Data_Power!F139,#N/A)</f>
        <v>#N/A</v>
      </c>
      <c r="P139" s="1" t="e">
        <f>IF(AND(Table1[[#This Row],[Frequency (GHz)]]&gt;=110,Table1[[#This Row],[Frequency (GHz)]]&lt;170),Plot_Data_Power!F139,#N/A)</f>
        <v>#N/A</v>
      </c>
      <c r="Q139" s="1" t="e">
        <f>IF(AND(Table1[[#This Row],[Frequency (GHz)]]&gt;=170,Table1[[#This Row],[Frequency (GHz)]]&lt;260),Plot_Data_Power!F139,#N/A)</f>
        <v>#N/A</v>
      </c>
      <c r="R139" s="1" t="e">
        <f>IF(Table1[[#This Row],[Frequency (GHz)]]&gt;=260,Plot_Data_Power!F139,#N/A)</f>
        <v>#N/A</v>
      </c>
      <c r="U139" s="1" t="e">
        <f>IF(Table1[[#This Row],[Frequency (GHz)]]&lt;20,Plot_Data_Power!G139,#N/A)</f>
        <v>#N/A</v>
      </c>
      <c r="V139" s="1" t="e">
        <f>IF(AND(Table1[[#This Row],[Frequency (GHz)]]&gt;=20,Table1[[#This Row],[Frequency (GHz)]]&lt;50),Plot_Data_Power!G139,#N/A)</f>
        <v>#N/A</v>
      </c>
      <c r="W139" s="1" t="e">
        <f>IF(AND(Table1[[#This Row],[Frequency (GHz)]]&gt;=50,Table1[[#This Row],[Frequency (GHz)]]&lt;75),Plot_Data_Power!G139,#N/A)</f>
        <v>#N/A</v>
      </c>
      <c r="X139" s="1" t="e">
        <f>IF(AND(Table1[[#This Row],[Frequency (GHz)]]&gt;=75,Table1[[#This Row],[Frequency (GHz)]]&lt;110),Plot_Data_Power!G139,#N/A)</f>
        <v>#N/A</v>
      </c>
      <c r="Y139" s="1" t="e">
        <f>IF(AND(Table1[[#This Row],[Frequency (GHz)]]&gt;=110,Table1[[#This Row],[Frequency (GHz)]]&lt;170),Plot_Data_Power!G139,#N/A)</f>
        <v>#N/A</v>
      </c>
      <c r="Z139" s="1" t="e">
        <f>IF(AND(Table1[[#This Row],[Frequency (GHz)]]&gt;=170,Table1[[#This Row],[Frequency (GHz)]]&lt;260),Plot_Data_Power!G139,#N/A)</f>
        <v>#N/A</v>
      </c>
      <c r="AA139" s="1" t="e">
        <f>IF(Table1[[#This Row],[Frequency (GHz)]]&gt;=260,Plot_Data_Power!G139,#N/A)</f>
        <v>#N/A</v>
      </c>
      <c r="AD139" s="1" t="e">
        <f>IF(ISNUMBER(Table1[[#This Row],[Max Package Thermal Density (W/cm2)]]),Table1[[#This Row],[Max Package Thermal Density (W/cm2)]],#N/A)</f>
        <v>#N/A</v>
      </c>
      <c r="AE139" s="1" t="e">
        <f>IF(AND(ISNUMBER((Table1[[#This Row],[Max Package Thermal Density (W/cm2)]])),Table1[[#This Row],[Frequency (GHz)]]&lt;20),Table1[[#This Row],[Max Package Thermal Density (W/cm2)]],#N/A)</f>
        <v>#N/A</v>
      </c>
      <c r="AF139" s="1" t="e">
        <f>IF(AND(ISNUMBER(Table1[[#This Row],[Max Package Thermal Density (W/cm2)]]),Table1[[#This Row],[Frequency (GHz)]]&gt;=20,Table1[[#This Row],[Frequency (GHz)]]&lt;50),Table1[[#This Row],[Max Package Thermal Density (W/cm2)]],#N/A)</f>
        <v>#N/A</v>
      </c>
      <c r="AG139" s="1" t="e">
        <f>IF(AND(ISNUMBER(Table1[[#This Row],[Max Package Thermal Density (W/cm2)]]),Table1[[#This Row],[Frequency (GHz)]]&gt;=50,Table1[[#This Row],[Frequency (GHz)]]&lt;75),Table1[[#This Row],[Max Package Thermal Density (W/cm2)]],#N/A)</f>
        <v>#N/A</v>
      </c>
      <c r="AH139" s="1" t="e">
        <f>IF(AND(ISNUMBER(Table1[[#This Row],[Max Package Thermal Density (W/cm2)]]),Table1[[#This Row],[Frequency (GHz)]]&gt;=75,Table1[[#This Row],[Frequency (GHz)]]&lt;110),Table1[[#This Row],[Max Package Thermal Density (W/cm2)]],#N/A)</f>
        <v>#N/A</v>
      </c>
      <c r="AI139" s="1" t="e">
        <f>IF(AND(ISNUMBER(Table1[[#This Row],[Max Package Thermal Density (W/cm2)]]),Table1[[#This Row],[Frequency (GHz)]]&gt;=110,Table1[[#This Row],[Frequency (GHz)]]&lt;170),Table1[[#This Row],[Max Package Thermal Density (W/cm2)]],#N/A)</f>
        <v>#N/A</v>
      </c>
      <c r="AJ139" s="1" t="e">
        <f>IF(AND(ISNUMBER(Table1[[#This Row],[Max Package Thermal Density (W/cm2)]]),Table1[[#This Row],[Frequency (GHz)]]&gt;=170,Table1[[#This Row],[Frequency (GHz)]]&lt;260),Table1[[#This Row],[Max Package Thermal Density (W/cm2)]],#N/A)</f>
        <v>#N/A</v>
      </c>
      <c r="AK139" s="1" t="e">
        <f>IF(AND(ISNUMBER(Table1[[#This Row],[Max Package Thermal Density (W/cm2)]]),Table1[[#This Row],[Frequency (GHz)]]&gt;=260),Table1[[#This Row],[Max Package Thermal Density (W/cm2)]],#N/A)</f>
        <v>#N/A</v>
      </c>
      <c r="AN139" s="1">
        <f>IF(ISNUMBER(Table1[[#This Row],[Max Chip Thermal Density (W/cm2)]]),Table1[[#This Row],[Max Chip Thermal Density (W/cm2)]],#N/A)</f>
        <v>70.175438596491233</v>
      </c>
      <c r="AO139" s="1" t="e">
        <f>IF(AND(ISNUMBER((Table1[[#This Row],[Max Chip Thermal Density (W/cm2)]])),Table1[[#This Row],[Frequency (GHz)]]&lt;20),Table1[[#This Row],[Max Chip Thermal Density (W/cm2)]],#N/A)</f>
        <v>#N/A</v>
      </c>
      <c r="AP139" s="1" t="e">
        <f>IF(AND(ISNUMBER(Table1[[#This Row],[Max Chip Thermal Density (W/cm2)]]),Table1[[#This Row],[Frequency (GHz)]]&gt;=20,Table1[[#This Row],[Frequency (GHz)]]&lt;50),Table1[[#This Row],[Max Chip Thermal Density (W/cm2)]],#N/A)</f>
        <v>#N/A</v>
      </c>
      <c r="AQ139" s="1" t="e">
        <f>IF(AND(ISNUMBER(Table1[[#This Row],[Max Chip Thermal Density (W/cm2)]]),Table1[[#This Row],[Frequency (GHz)]]&gt;=50,Table1[[#This Row],[Frequency (GHz)]]&lt;75),Table1[[#This Row],[Max Chip Thermal Density (W/cm2)]],#N/A)</f>
        <v>#N/A</v>
      </c>
      <c r="AR139" s="1">
        <f>IF(AND(ISNUMBER(Table1[[#This Row],[Max Chip Thermal Density (W/cm2)]]),Table1[[#This Row],[Frequency (GHz)]]&gt;=75,Table1[[#This Row],[Frequency (GHz)]]&lt;110),Table1[[#This Row],[Max Chip Thermal Density (W/cm2)]],#N/A)</f>
        <v>70.175438596491233</v>
      </c>
      <c r="AS139" s="1" t="e">
        <f>IF(AND(ISNUMBER(Table1[[#This Row],[Max Chip Thermal Density (W/cm2)]]),Table1[[#This Row],[Frequency (GHz)]]&gt;=110,Table1[[#This Row],[Frequency (GHz)]]&lt;170),Table1[[#This Row],[Max Chip Thermal Density (W/cm2)]],#N/A)</f>
        <v>#N/A</v>
      </c>
      <c r="AT139" s="1" t="e">
        <f>IF(AND(ISNUMBER(Table1[[#This Row],[Max Chip Thermal Density (W/cm2)]]),Table1[[#This Row],[Frequency (GHz)]]&gt;=170,Table1[[#This Row],[Frequency (GHz)]]&lt;260),Table1[[#This Row],[Max Chip Thermal Density (W/cm2)]],#N/A)</f>
        <v>#N/A</v>
      </c>
      <c r="AU139" s="1" t="e">
        <f>IF(AND(ISNUMBER(Table1[[#This Row],[Max Chip Thermal Density (W/cm2)]]),Table1[[#This Row],[Frequency (GHz)]]&gt;=260),Table1[[#This Row],[Max Chip Thermal Density (W/cm2)]],#N/A)</f>
        <v>#N/A</v>
      </c>
    </row>
    <row r="140" spans="1:47" x14ac:dyDescent="0.2">
      <c r="A140" s="25" t="e">
        <f>IF(ISNUMBER(Table1[[#This Row],[Total Pout/Prad (dBm)]]),Table1[[#This Row],[Total Pout/Prad (dBm)]],#N/A)</f>
        <v>#N/A</v>
      </c>
      <c r="B140" s="1" t="e">
        <f>IF(ISNUMBER(Table1[[#This Row],[Total Pout/Prad (dBm)]]),Table1[[#This Row],[Total '# of TX Elements]],#N/A)</f>
        <v>#N/A</v>
      </c>
      <c r="C140" s="1" t="e">
        <f>IF(ISNUMBER(Table1[[#This Row],[TX EIRP (dBm)]]),Table1[[#This Row],[TX EIRP (dBm)]],#N/A)</f>
        <v>#N/A</v>
      </c>
      <c r="D140" s="1">
        <f>Table1[[#This Row],[TX Pdc (W)]]</f>
        <v>4.5699999999999998E-7</v>
      </c>
      <c r="E140" s="1">
        <f>IF(ISNUMBER(Table1[[#This Row],[Array Aperture Size (cm2)]]),Table1[[#This Row],[Array Aperture Size (cm2)]],IF(Table1[[#This Row],[Antenna on (None, Chip, AiP, PCB)]]="Chip",Table1[[#This Row],[Chip Core Size - X (mm)]]*Table1[[#This Row],[Chip Core Size -Y (mm)]]/100*Table1[[#This Row],['# of IC per Tile]]*Table1[[#This Row],['# of Array Tile]],#N/A))</f>
        <v>2.8365000000000001E-2</v>
      </c>
      <c r="F140" s="1" t="e">
        <f t="shared" si="4"/>
        <v>#N/A</v>
      </c>
      <c r="G140" s="1" t="e">
        <f t="shared" si="5"/>
        <v>#N/A</v>
      </c>
      <c r="L140" s="1" t="e">
        <f>IF(Table1[[#This Row],[Frequency (GHz)]]&lt;20,Plot_Data_Power!F140,#N/A)</f>
        <v>#N/A</v>
      </c>
      <c r="M140" s="1" t="e">
        <f>IF(AND(Table1[[#This Row],[Frequency (GHz)]]&gt;=20,Table1[[#This Row],[Frequency (GHz)]]&lt;50),Plot_Data_Power!F140,#N/A)</f>
        <v>#N/A</v>
      </c>
      <c r="N140" s="1" t="e">
        <f>IF(AND(Table1[[#This Row],[Frequency (GHz)]]&gt;=50,Table1[[#This Row],[Frequency (GHz)]]&lt;75),Plot_Data_Power!F140,#N/A)</f>
        <v>#N/A</v>
      </c>
      <c r="O140" s="1" t="e">
        <f>IF(AND(Table1[[#This Row],[Frequency (GHz)]]&gt;=75,Table1[[#This Row],[Frequency (GHz)]]&lt;110),Plot_Data_Power!F140,#N/A)</f>
        <v>#N/A</v>
      </c>
      <c r="P140" s="1" t="e">
        <f>IF(AND(Table1[[#This Row],[Frequency (GHz)]]&gt;=110,Table1[[#This Row],[Frequency (GHz)]]&lt;170),Plot_Data_Power!F140,#N/A)</f>
        <v>#N/A</v>
      </c>
      <c r="Q140" s="1" t="e">
        <f>IF(AND(Table1[[#This Row],[Frequency (GHz)]]&gt;=170,Table1[[#This Row],[Frequency (GHz)]]&lt;260),Plot_Data_Power!F140,#N/A)</f>
        <v>#N/A</v>
      </c>
      <c r="R140" s="1" t="e">
        <f>IF(Table1[[#This Row],[Frequency (GHz)]]&gt;=260,Plot_Data_Power!F140,#N/A)</f>
        <v>#N/A</v>
      </c>
      <c r="U140" s="1" t="e">
        <f>IF(Table1[[#This Row],[Frequency (GHz)]]&lt;20,Plot_Data_Power!G140,#N/A)</f>
        <v>#N/A</v>
      </c>
      <c r="V140" s="1" t="e">
        <f>IF(AND(Table1[[#This Row],[Frequency (GHz)]]&gt;=20,Table1[[#This Row],[Frequency (GHz)]]&lt;50),Plot_Data_Power!G140,#N/A)</f>
        <v>#N/A</v>
      </c>
      <c r="W140" s="1" t="e">
        <f>IF(AND(Table1[[#This Row],[Frequency (GHz)]]&gt;=50,Table1[[#This Row],[Frequency (GHz)]]&lt;75),Plot_Data_Power!G140,#N/A)</f>
        <v>#N/A</v>
      </c>
      <c r="X140" s="1" t="e">
        <f>IF(AND(Table1[[#This Row],[Frequency (GHz)]]&gt;=75,Table1[[#This Row],[Frequency (GHz)]]&lt;110),Plot_Data_Power!G140,#N/A)</f>
        <v>#N/A</v>
      </c>
      <c r="Y140" s="1" t="e">
        <f>IF(AND(Table1[[#This Row],[Frequency (GHz)]]&gt;=110,Table1[[#This Row],[Frequency (GHz)]]&lt;170),Plot_Data_Power!G140,#N/A)</f>
        <v>#N/A</v>
      </c>
      <c r="Z140" s="1" t="e">
        <f>IF(AND(Table1[[#This Row],[Frequency (GHz)]]&gt;=170,Table1[[#This Row],[Frequency (GHz)]]&lt;260),Plot_Data_Power!G140,#N/A)</f>
        <v>#N/A</v>
      </c>
      <c r="AA140" s="1" t="e">
        <f>IF(Table1[[#This Row],[Frequency (GHz)]]&gt;=260,Plot_Data_Power!G140,#N/A)</f>
        <v>#N/A</v>
      </c>
      <c r="AD140" s="1" t="e">
        <f>IF(ISNUMBER(Table1[[#This Row],[Max Package Thermal Density (W/cm2)]]),Table1[[#This Row],[Max Package Thermal Density (W/cm2)]],#N/A)</f>
        <v>#N/A</v>
      </c>
      <c r="AE140" s="1" t="e">
        <f>IF(AND(ISNUMBER((Table1[[#This Row],[Max Package Thermal Density (W/cm2)]])),Table1[[#This Row],[Frequency (GHz)]]&lt;20),Table1[[#This Row],[Max Package Thermal Density (W/cm2)]],#N/A)</f>
        <v>#N/A</v>
      </c>
      <c r="AF140" s="1" t="e">
        <f>IF(AND(ISNUMBER(Table1[[#This Row],[Max Package Thermal Density (W/cm2)]]),Table1[[#This Row],[Frequency (GHz)]]&gt;=20,Table1[[#This Row],[Frequency (GHz)]]&lt;50),Table1[[#This Row],[Max Package Thermal Density (W/cm2)]],#N/A)</f>
        <v>#N/A</v>
      </c>
      <c r="AG140" s="1" t="e">
        <f>IF(AND(ISNUMBER(Table1[[#This Row],[Max Package Thermal Density (W/cm2)]]),Table1[[#This Row],[Frequency (GHz)]]&gt;=50,Table1[[#This Row],[Frequency (GHz)]]&lt;75),Table1[[#This Row],[Max Package Thermal Density (W/cm2)]],#N/A)</f>
        <v>#N/A</v>
      </c>
      <c r="AH140" s="1" t="e">
        <f>IF(AND(ISNUMBER(Table1[[#This Row],[Max Package Thermal Density (W/cm2)]]),Table1[[#This Row],[Frequency (GHz)]]&gt;=75,Table1[[#This Row],[Frequency (GHz)]]&lt;110),Table1[[#This Row],[Max Package Thermal Density (W/cm2)]],#N/A)</f>
        <v>#N/A</v>
      </c>
      <c r="AI140" s="1" t="e">
        <f>IF(AND(ISNUMBER(Table1[[#This Row],[Max Package Thermal Density (W/cm2)]]),Table1[[#This Row],[Frequency (GHz)]]&gt;=110,Table1[[#This Row],[Frequency (GHz)]]&lt;170),Table1[[#This Row],[Max Package Thermal Density (W/cm2)]],#N/A)</f>
        <v>#N/A</v>
      </c>
      <c r="AJ140" s="1" t="e">
        <f>IF(AND(ISNUMBER(Table1[[#This Row],[Max Package Thermal Density (W/cm2)]]),Table1[[#This Row],[Frequency (GHz)]]&gt;=170,Table1[[#This Row],[Frequency (GHz)]]&lt;260),Table1[[#This Row],[Max Package Thermal Density (W/cm2)]],#N/A)</f>
        <v>#N/A</v>
      </c>
      <c r="AK140" s="1" t="e">
        <f>IF(AND(ISNUMBER(Table1[[#This Row],[Max Package Thermal Density (W/cm2)]]),Table1[[#This Row],[Frequency (GHz)]]&gt;=260),Table1[[#This Row],[Max Package Thermal Density (W/cm2)]],#N/A)</f>
        <v>#N/A</v>
      </c>
      <c r="AN140" s="1">
        <f>IF(ISNUMBER(Table1[[#This Row],[Max Chip Thermal Density (W/cm2)]]),Table1[[#This Row],[Max Chip Thermal Density (W/cm2)]],#N/A)</f>
        <v>8.2789855072463772E-6</v>
      </c>
      <c r="AO140" s="1" t="e">
        <f>IF(AND(ISNUMBER((Table1[[#This Row],[Max Chip Thermal Density (W/cm2)]])),Table1[[#This Row],[Frequency (GHz)]]&lt;20),Table1[[#This Row],[Max Chip Thermal Density (W/cm2)]],#N/A)</f>
        <v>#N/A</v>
      </c>
      <c r="AP140" s="1" t="e">
        <f>IF(AND(ISNUMBER(Table1[[#This Row],[Max Chip Thermal Density (W/cm2)]]),Table1[[#This Row],[Frequency (GHz)]]&gt;=20,Table1[[#This Row],[Frequency (GHz)]]&lt;50),Table1[[#This Row],[Max Chip Thermal Density (W/cm2)]],#N/A)</f>
        <v>#N/A</v>
      </c>
      <c r="AQ140" s="1" t="e">
        <f>IF(AND(ISNUMBER(Table1[[#This Row],[Max Chip Thermal Density (W/cm2)]]),Table1[[#This Row],[Frequency (GHz)]]&gt;=50,Table1[[#This Row],[Frequency (GHz)]]&lt;75),Table1[[#This Row],[Max Chip Thermal Density (W/cm2)]],#N/A)</f>
        <v>#N/A</v>
      </c>
      <c r="AR140" s="1" t="e">
        <f>IF(AND(ISNUMBER(Table1[[#This Row],[Max Chip Thermal Density (W/cm2)]]),Table1[[#This Row],[Frequency (GHz)]]&gt;=75,Table1[[#This Row],[Frequency (GHz)]]&lt;110),Table1[[#This Row],[Max Chip Thermal Density (W/cm2)]],#N/A)</f>
        <v>#N/A</v>
      </c>
      <c r="AS140" s="1" t="e">
        <f>IF(AND(ISNUMBER(Table1[[#This Row],[Max Chip Thermal Density (W/cm2)]]),Table1[[#This Row],[Frequency (GHz)]]&gt;=110,Table1[[#This Row],[Frequency (GHz)]]&lt;170),Table1[[#This Row],[Max Chip Thermal Density (W/cm2)]],#N/A)</f>
        <v>#N/A</v>
      </c>
      <c r="AT140" s="1" t="e">
        <f>IF(AND(ISNUMBER(Table1[[#This Row],[Max Chip Thermal Density (W/cm2)]]),Table1[[#This Row],[Frequency (GHz)]]&gt;=170,Table1[[#This Row],[Frequency (GHz)]]&lt;260),Table1[[#This Row],[Max Chip Thermal Density (W/cm2)]],#N/A)</f>
        <v>#N/A</v>
      </c>
      <c r="AU140" s="1">
        <f>IF(AND(ISNUMBER(Table1[[#This Row],[Max Chip Thermal Density (W/cm2)]]),Table1[[#This Row],[Frequency (GHz)]]&gt;=260),Table1[[#This Row],[Max Chip Thermal Density (W/cm2)]],#N/A)</f>
        <v>8.2789855072463772E-6</v>
      </c>
    </row>
    <row r="141" spans="1:47" x14ac:dyDescent="0.2">
      <c r="A141" s="25">
        <f>IF(ISNUMBER(Table1[[#This Row],[Total Pout/Prad (dBm)]]),Table1[[#This Row],[Total Pout/Prad (dBm)]],#N/A)</f>
        <v>25.820599913279626</v>
      </c>
      <c r="B141" s="1">
        <f>IF(ISNUMBER(Table1[[#This Row],[Total Pout/Prad (dBm)]]),Table1[[#This Row],[Total '# of TX Elements]],#N/A)</f>
        <v>4</v>
      </c>
      <c r="C141" s="1" t="e">
        <f>IF(ISNUMBER(Table1[[#This Row],[TX EIRP (dBm)]]),Table1[[#This Row],[TX EIRP (dBm)]],#N/A)</f>
        <v>#N/A</v>
      </c>
      <c r="D141" s="1">
        <f>Table1[[#This Row],[TX Pdc (W)]]</f>
        <v>1.984</v>
      </c>
      <c r="E141"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41" s="1">
        <f>IF(AND(ISNUMBER(A141),ISNUMBER(D141)),(10^(A141/10)/1000)/D141*100,#N/A)</f>
        <v>19.253882782690258</v>
      </c>
      <c r="G141" s="1" t="e">
        <f>IF(AND(ISNUMBER(C141),ISNUMBER(D141)),(10^(C141/10)/1000)/D141*100,#N/A)</f>
        <v>#N/A</v>
      </c>
      <c r="L141" s="1" t="e">
        <f>IF(Table1[[#This Row],[Frequency (GHz)]]&lt;20,Plot_Data_Power!F141,#N/A)</f>
        <v>#N/A</v>
      </c>
      <c r="M141" s="1">
        <f>IF(AND(Table1[[#This Row],[Frequency (GHz)]]&gt;=20,Table1[[#This Row],[Frequency (GHz)]]&lt;50),Plot_Data_Power!F141,#N/A)</f>
        <v>19.253882782690258</v>
      </c>
      <c r="N141" s="1" t="e">
        <f>IF(AND(Table1[[#This Row],[Frequency (GHz)]]&gt;=50,Table1[[#This Row],[Frequency (GHz)]]&lt;75),Plot_Data_Power!F141,#N/A)</f>
        <v>#N/A</v>
      </c>
      <c r="O141" s="1" t="e">
        <f>IF(AND(Table1[[#This Row],[Frequency (GHz)]]&gt;=75,Table1[[#This Row],[Frequency (GHz)]]&lt;110),Plot_Data_Power!F141,#N/A)</f>
        <v>#N/A</v>
      </c>
      <c r="P141" s="1" t="e">
        <f>IF(AND(Table1[[#This Row],[Frequency (GHz)]]&gt;=110,Table1[[#This Row],[Frequency (GHz)]]&lt;170),Plot_Data_Power!F141,#N/A)</f>
        <v>#N/A</v>
      </c>
      <c r="Q141" s="1" t="e">
        <f>IF(AND(Table1[[#This Row],[Frequency (GHz)]]&gt;=170,Table1[[#This Row],[Frequency (GHz)]]&lt;260),Plot_Data_Power!F141,#N/A)</f>
        <v>#N/A</v>
      </c>
      <c r="R141" s="1" t="e">
        <f>IF(Table1[[#This Row],[Frequency (GHz)]]&gt;=260,Plot_Data_Power!F141,#N/A)</f>
        <v>#N/A</v>
      </c>
      <c r="U141" s="1" t="e">
        <f>IF(Table1[[#This Row],[Frequency (GHz)]]&lt;20,Plot_Data_Power!G141,#N/A)</f>
        <v>#N/A</v>
      </c>
      <c r="V141" s="1" t="e">
        <f>IF(AND(Table1[[#This Row],[Frequency (GHz)]]&gt;=20,Table1[[#This Row],[Frequency (GHz)]]&lt;50),Plot_Data_Power!G141,#N/A)</f>
        <v>#N/A</v>
      </c>
      <c r="W141" s="1" t="e">
        <f>IF(AND(Table1[[#This Row],[Frequency (GHz)]]&gt;=50,Table1[[#This Row],[Frequency (GHz)]]&lt;75),Plot_Data_Power!G141,#N/A)</f>
        <v>#N/A</v>
      </c>
      <c r="X141" s="1" t="e">
        <f>IF(AND(Table1[[#This Row],[Frequency (GHz)]]&gt;=75,Table1[[#This Row],[Frequency (GHz)]]&lt;110),Plot_Data_Power!G141,#N/A)</f>
        <v>#N/A</v>
      </c>
      <c r="Y141" s="1" t="e">
        <f>IF(AND(Table1[[#This Row],[Frequency (GHz)]]&gt;=110,Table1[[#This Row],[Frequency (GHz)]]&lt;170),Plot_Data_Power!G141,#N/A)</f>
        <v>#N/A</v>
      </c>
      <c r="Z141" s="1" t="e">
        <f>IF(AND(Table1[[#This Row],[Frequency (GHz)]]&gt;=170,Table1[[#This Row],[Frequency (GHz)]]&lt;260),Plot_Data_Power!G141,#N/A)</f>
        <v>#N/A</v>
      </c>
      <c r="AA141" s="1" t="e">
        <f>IF(Table1[[#This Row],[Frequency (GHz)]]&gt;=260,Plot_Data_Power!G141,#N/A)</f>
        <v>#N/A</v>
      </c>
      <c r="AD141" s="1" t="e">
        <f>IF(ISNUMBER(Table1[[#This Row],[Max Package Thermal Density (W/cm2)]]),Table1[[#This Row],[Max Package Thermal Density (W/cm2)]],#N/A)</f>
        <v>#N/A</v>
      </c>
      <c r="AE141" s="1" t="e">
        <f>IF(AND(ISNUMBER((Table1[[#This Row],[Max Package Thermal Density (W/cm2)]])),Table1[[#This Row],[Frequency (GHz)]]&lt;20),Table1[[#This Row],[Max Package Thermal Density (W/cm2)]],#N/A)</f>
        <v>#N/A</v>
      </c>
      <c r="AF141" s="1" t="e">
        <f>IF(AND(ISNUMBER(Table1[[#This Row],[Max Package Thermal Density (W/cm2)]]),Table1[[#This Row],[Frequency (GHz)]]&gt;=20,Table1[[#This Row],[Frequency (GHz)]]&lt;50),Table1[[#This Row],[Max Package Thermal Density (W/cm2)]],#N/A)</f>
        <v>#N/A</v>
      </c>
      <c r="AG141" s="1" t="e">
        <f>IF(AND(ISNUMBER(Table1[[#This Row],[Max Package Thermal Density (W/cm2)]]),Table1[[#This Row],[Frequency (GHz)]]&gt;=50,Table1[[#This Row],[Frequency (GHz)]]&lt;75),Table1[[#This Row],[Max Package Thermal Density (W/cm2)]],#N/A)</f>
        <v>#N/A</v>
      </c>
      <c r="AH141" s="1" t="e">
        <f>IF(AND(ISNUMBER(Table1[[#This Row],[Max Package Thermal Density (W/cm2)]]),Table1[[#This Row],[Frequency (GHz)]]&gt;=75,Table1[[#This Row],[Frequency (GHz)]]&lt;110),Table1[[#This Row],[Max Package Thermal Density (W/cm2)]],#N/A)</f>
        <v>#N/A</v>
      </c>
      <c r="AI141" s="1" t="e">
        <f>IF(AND(ISNUMBER(Table1[[#This Row],[Max Package Thermal Density (W/cm2)]]),Table1[[#This Row],[Frequency (GHz)]]&gt;=110,Table1[[#This Row],[Frequency (GHz)]]&lt;170),Table1[[#This Row],[Max Package Thermal Density (W/cm2)]],#N/A)</f>
        <v>#N/A</v>
      </c>
      <c r="AJ141" s="1" t="e">
        <f>IF(AND(ISNUMBER(Table1[[#This Row],[Max Package Thermal Density (W/cm2)]]),Table1[[#This Row],[Frequency (GHz)]]&gt;=170,Table1[[#This Row],[Frequency (GHz)]]&lt;260),Table1[[#This Row],[Max Package Thermal Density (W/cm2)]],#N/A)</f>
        <v>#N/A</v>
      </c>
      <c r="AK141" s="1" t="e">
        <f>IF(AND(ISNUMBER(Table1[[#This Row],[Max Package Thermal Density (W/cm2)]]),Table1[[#This Row],[Frequency (GHz)]]&gt;=260),Table1[[#This Row],[Max Package Thermal Density (W/cm2)]],#N/A)</f>
        <v>#N/A</v>
      </c>
      <c r="AN141" s="1">
        <f>IF(ISNUMBER(Table1[[#This Row],[Max Chip Thermal Density (W/cm2)]]),Table1[[#This Row],[Max Chip Thermal Density (W/cm2)]],#N/A)</f>
        <v>7.6543209876543195</v>
      </c>
      <c r="AO141" s="1" t="e">
        <f>IF(AND(ISNUMBER((Table1[[#This Row],[Max Chip Thermal Density (W/cm2)]])),Table1[[#This Row],[Frequency (GHz)]]&lt;20),Table1[[#This Row],[Max Chip Thermal Density (W/cm2)]],#N/A)</f>
        <v>#N/A</v>
      </c>
      <c r="AP141" s="1">
        <f>IF(AND(ISNUMBER(Table1[[#This Row],[Max Chip Thermal Density (W/cm2)]]),Table1[[#This Row],[Frequency (GHz)]]&gt;=20,Table1[[#This Row],[Frequency (GHz)]]&lt;50),Table1[[#This Row],[Max Chip Thermal Density (W/cm2)]],#N/A)</f>
        <v>7.6543209876543195</v>
      </c>
      <c r="AQ141" s="1" t="e">
        <f>IF(AND(ISNUMBER(Table1[[#This Row],[Max Chip Thermal Density (W/cm2)]]),Table1[[#This Row],[Frequency (GHz)]]&gt;=50,Table1[[#This Row],[Frequency (GHz)]]&lt;75),Table1[[#This Row],[Max Chip Thermal Density (W/cm2)]],#N/A)</f>
        <v>#N/A</v>
      </c>
      <c r="AR141" s="1" t="e">
        <f>IF(AND(ISNUMBER(Table1[[#This Row],[Max Chip Thermal Density (W/cm2)]]),Table1[[#This Row],[Frequency (GHz)]]&gt;=75,Table1[[#This Row],[Frequency (GHz)]]&lt;110),Table1[[#This Row],[Max Chip Thermal Density (W/cm2)]],#N/A)</f>
        <v>#N/A</v>
      </c>
      <c r="AS141" s="1" t="e">
        <f>IF(AND(ISNUMBER(Table1[[#This Row],[Max Chip Thermal Density (W/cm2)]]),Table1[[#This Row],[Frequency (GHz)]]&gt;=110,Table1[[#This Row],[Frequency (GHz)]]&lt;170),Table1[[#This Row],[Max Chip Thermal Density (W/cm2)]],#N/A)</f>
        <v>#N/A</v>
      </c>
      <c r="AT141" s="1" t="e">
        <f>IF(AND(ISNUMBER(Table1[[#This Row],[Max Chip Thermal Density (W/cm2)]]),Table1[[#This Row],[Frequency (GHz)]]&gt;=170,Table1[[#This Row],[Frequency (GHz)]]&lt;260),Table1[[#This Row],[Max Chip Thermal Density (W/cm2)]],#N/A)</f>
        <v>#N/A</v>
      </c>
      <c r="AU141" s="1" t="e">
        <f>IF(AND(ISNUMBER(Table1[[#This Row],[Max Chip Thermal Density (W/cm2)]]),Table1[[#This Row],[Frequency (GHz)]]&gt;=260),Table1[[#This Row],[Max Chip Thermal Density (W/cm2)]],#N/A)</f>
        <v>#N/A</v>
      </c>
    </row>
    <row r="142" spans="1:47" x14ac:dyDescent="0.2">
      <c r="A142" s="25">
        <f>IF(ISNUMBER(Table1[[#This Row],[Total Pout/Prad (dBm)]]),Table1[[#This Row],[Total Pout/Prad (dBm)]],#N/A)</f>
        <v>23.020599913279625</v>
      </c>
      <c r="B142" s="1">
        <f>IF(ISNUMBER(Table1[[#This Row],[Total Pout/Prad (dBm)]]),Table1[[#This Row],[Total '# of TX Elements]],#N/A)</f>
        <v>4</v>
      </c>
      <c r="C142" s="1" t="e">
        <f>IF(ISNUMBER(Table1[[#This Row],[TX EIRP (dBm)]]),Table1[[#This Row],[TX EIRP (dBm)]],#N/A)</f>
        <v>#N/A</v>
      </c>
      <c r="D142" s="1" t="str">
        <f>Table1[[#This Row],[TX Pdc (W)]]</f>
        <v>N/A</v>
      </c>
      <c r="E142" s="1">
        <f>IF(ISNUMBER(Table1[[#This Row],[Array Aperture Size (cm2)]]),Table1[[#This Row],[Array Aperture Size (cm2)]],IF(Table1[[#This Row],[Antenna on (None, Chip, AiP, PCB)]]="Chip",Table1[[#This Row],[Chip Core Size - X (mm)]]*Table1[[#This Row],[Chip Core Size -Y (mm)]]/100*Table1[[#This Row],['# of IC per Tile]]*Table1[[#This Row],['# of Array Tile]],#N/A))</f>
        <v>6.5198999999999989</v>
      </c>
      <c r="F142" s="1" t="e">
        <f t="shared" ref="F142:F147" si="6">IF(AND(ISNUMBER(A142),ISNUMBER(D142)),(10^(A142/10)/1000)/D142*100,#N/A)</f>
        <v>#N/A</v>
      </c>
      <c r="G142" s="1" t="e">
        <f t="shared" ref="G142:G147" si="7">IF(AND(ISNUMBER(C142),ISNUMBER(D142)),(10^(C142/10)/1000)/D142*100,#N/A)</f>
        <v>#N/A</v>
      </c>
      <c r="L142" s="1" t="e">
        <f>IF(Table1[[#This Row],[Frequency (GHz)]]&lt;20,Plot_Data_Power!F142,#N/A)</f>
        <v>#N/A</v>
      </c>
      <c r="M142" s="1" t="e">
        <f>IF(AND(Table1[[#This Row],[Frequency (GHz)]]&gt;=20,Table1[[#This Row],[Frequency (GHz)]]&lt;50),Plot_Data_Power!F142,#N/A)</f>
        <v>#N/A</v>
      </c>
      <c r="N142" s="1" t="e">
        <f>IF(AND(Table1[[#This Row],[Frequency (GHz)]]&gt;=50,Table1[[#This Row],[Frequency (GHz)]]&lt;75),Plot_Data_Power!F142,#N/A)</f>
        <v>#N/A</v>
      </c>
      <c r="O142" s="1" t="e">
        <f>IF(AND(Table1[[#This Row],[Frequency (GHz)]]&gt;=75,Table1[[#This Row],[Frequency (GHz)]]&lt;110),Plot_Data_Power!F142,#N/A)</f>
        <v>#N/A</v>
      </c>
      <c r="P142" s="1" t="e">
        <f>IF(AND(Table1[[#This Row],[Frequency (GHz)]]&gt;=110,Table1[[#This Row],[Frequency (GHz)]]&lt;170),Plot_Data_Power!F142,#N/A)</f>
        <v>#N/A</v>
      </c>
      <c r="Q142" s="1" t="e">
        <f>IF(AND(Table1[[#This Row],[Frequency (GHz)]]&gt;=170,Table1[[#This Row],[Frequency (GHz)]]&lt;260),Plot_Data_Power!F142,#N/A)</f>
        <v>#N/A</v>
      </c>
      <c r="R142" s="1" t="e">
        <f>IF(Table1[[#This Row],[Frequency (GHz)]]&gt;=260,Plot_Data_Power!F142,#N/A)</f>
        <v>#N/A</v>
      </c>
      <c r="U142" s="1" t="e">
        <f>IF(Table1[[#This Row],[Frequency (GHz)]]&lt;20,Plot_Data_Power!G142,#N/A)</f>
        <v>#N/A</v>
      </c>
      <c r="V142" s="1" t="e">
        <f>IF(AND(Table1[[#This Row],[Frequency (GHz)]]&gt;=20,Table1[[#This Row],[Frequency (GHz)]]&lt;50),Plot_Data_Power!G142,#N/A)</f>
        <v>#N/A</v>
      </c>
      <c r="W142" s="1" t="e">
        <f>IF(AND(Table1[[#This Row],[Frequency (GHz)]]&gt;=50,Table1[[#This Row],[Frequency (GHz)]]&lt;75),Plot_Data_Power!G142,#N/A)</f>
        <v>#N/A</v>
      </c>
      <c r="X142" s="1" t="e">
        <f>IF(AND(Table1[[#This Row],[Frequency (GHz)]]&gt;=75,Table1[[#This Row],[Frequency (GHz)]]&lt;110),Plot_Data_Power!G142,#N/A)</f>
        <v>#N/A</v>
      </c>
      <c r="Y142" s="1" t="e">
        <f>IF(AND(Table1[[#This Row],[Frequency (GHz)]]&gt;=110,Table1[[#This Row],[Frequency (GHz)]]&lt;170),Plot_Data_Power!G142,#N/A)</f>
        <v>#N/A</v>
      </c>
      <c r="Z142" s="1" t="e">
        <f>IF(AND(Table1[[#This Row],[Frequency (GHz)]]&gt;=170,Table1[[#This Row],[Frequency (GHz)]]&lt;260),Plot_Data_Power!G142,#N/A)</f>
        <v>#N/A</v>
      </c>
      <c r="AA142" s="1" t="e">
        <f>IF(Table1[[#This Row],[Frequency (GHz)]]&gt;=260,Plot_Data_Power!G142,#N/A)</f>
        <v>#N/A</v>
      </c>
      <c r="AD142" s="1" t="e">
        <f>IF(ISNUMBER(Table1[[#This Row],[Max Package Thermal Density (W/cm2)]]),Table1[[#This Row],[Max Package Thermal Density (W/cm2)]],#N/A)</f>
        <v>#N/A</v>
      </c>
      <c r="AE142" s="1" t="e">
        <f>IF(AND(ISNUMBER((Table1[[#This Row],[Max Package Thermal Density (W/cm2)]])),Table1[[#This Row],[Frequency (GHz)]]&lt;20),Table1[[#This Row],[Max Package Thermal Density (W/cm2)]],#N/A)</f>
        <v>#N/A</v>
      </c>
      <c r="AF142" s="1" t="e">
        <f>IF(AND(ISNUMBER(Table1[[#This Row],[Max Package Thermal Density (W/cm2)]]),Table1[[#This Row],[Frequency (GHz)]]&gt;=20,Table1[[#This Row],[Frequency (GHz)]]&lt;50),Table1[[#This Row],[Max Package Thermal Density (W/cm2)]],#N/A)</f>
        <v>#N/A</v>
      </c>
      <c r="AG142" s="1" t="e">
        <f>IF(AND(ISNUMBER(Table1[[#This Row],[Max Package Thermal Density (W/cm2)]]),Table1[[#This Row],[Frequency (GHz)]]&gt;=50,Table1[[#This Row],[Frequency (GHz)]]&lt;75),Table1[[#This Row],[Max Package Thermal Density (W/cm2)]],#N/A)</f>
        <v>#N/A</v>
      </c>
      <c r="AH142" s="1" t="e">
        <f>IF(AND(ISNUMBER(Table1[[#This Row],[Max Package Thermal Density (W/cm2)]]),Table1[[#This Row],[Frequency (GHz)]]&gt;=75,Table1[[#This Row],[Frequency (GHz)]]&lt;110),Table1[[#This Row],[Max Package Thermal Density (W/cm2)]],#N/A)</f>
        <v>#N/A</v>
      </c>
      <c r="AI142" s="1" t="e">
        <f>IF(AND(ISNUMBER(Table1[[#This Row],[Max Package Thermal Density (W/cm2)]]),Table1[[#This Row],[Frequency (GHz)]]&gt;=110,Table1[[#This Row],[Frequency (GHz)]]&lt;170),Table1[[#This Row],[Max Package Thermal Density (W/cm2)]],#N/A)</f>
        <v>#N/A</v>
      </c>
      <c r="AJ142" s="1" t="e">
        <f>IF(AND(ISNUMBER(Table1[[#This Row],[Max Package Thermal Density (W/cm2)]]),Table1[[#This Row],[Frequency (GHz)]]&gt;=170,Table1[[#This Row],[Frequency (GHz)]]&lt;260),Table1[[#This Row],[Max Package Thermal Density (W/cm2)]],#N/A)</f>
        <v>#N/A</v>
      </c>
      <c r="AK142" s="1" t="e">
        <f>IF(AND(ISNUMBER(Table1[[#This Row],[Max Package Thermal Density (W/cm2)]]),Table1[[#This Row],[Frequency (GHz)]]&gt;=260),Table1[[#This Row],[Max Package Thermal Density (W/cm2)]],#N/A)</f>
        <v>#N/A</v>
      </c>
      <c r="AN142" s="1" t="e">
        <f>IF(ISNUMBER(Table1[[#This Row],[Max Chip Thermal Density (W/cm2)]]),Table1[[#This Row],[Max Chip Thermal Density (W/cm2)]],#N/A)</f>
        <v>#N/A</v>
      </c>
      <c r="AO142" s="1" t="e">
        <f>IF(AND(ISNUMBER((Table1[[#This Row],[Max Chip Thermal Density (W/cm2)]])),Table1[[#This Row],[Frequency (GHz)]]&lt;20),Table1[[#This Row],[Max Chip Thermal Density (W/cm2)]],#N/A)</f>
        <v>#N/A</v>
      </c>
      <c r="AP142" s="1" t="e">
        <f>IF(AND(ISNUMBER(Table1[[#This Row],[Max Chip Thermal Density (W/cm2)]]),Table1[[#This Row],[Frequency (GHz)]]&gt;=20,Table1[[#This Row],[Frequency (GHz)]]&lt;50),Table1[[#This Row],[Max Chip Thermal Density (W/cm2)]],#N/A)</f>
        <v>#N/A</v>
      </c>
      <c r="AQ142" s="1" t="e">
        <f>IF(AND(ISNUMBER(Table1[[#This Row],[Max Chip Thermal Density (W/cm2)]]),Table1[[#This Row],[Frequency (GHz)]]&gt;=50,Table1[[#This Row],[Frequency (GHz)]]&lt;75),Table1[[#This Row],[Max Chip Thermal Density (W/cm2)]],#N/A)</f>
        <v>#N/A</v>
      </c>
      <c r="AR142" s="1" t="e">
        <f>IF(AND(ISNUMBER(Table1[[#This Row],[Max Chip Thermal Density (W/cm2)]]),Table1[[#This Row],[Frequency (GHz)]]&gt;=75,Table1[[#This Row],[Frequency (GHz)]]&lt;110),Table1[[#This Row],[Max Chip Thermal Density (W/cm2)]],#N/A)</f>
        <v>#N/A</v>
      </c>
      <c r="AS142" s="1" t="e">
        <f>IF(AND(ISNUMBER(Table1[[#This Row],[Max Chip Thermal Density (W/cm2)]]),Table1[[#This Row],[Frequency (GHz)]]&gt;=110,Table1[[#This Row],[Frequency (GHz)]]&lt;170),Table1[[#This Row],[Max Chip Thermal Density (W/cm2)]],#N/A)</f>
        <v>#N/A</v>
      </c>
      <c r="AT142" s="1" t="e">
        <f>IF(AND(ISNUMBER(Table1[[#This Row],[Max Chip Thermal Density (W/cm2)]]),Table1[[#This Row],[Frequency (GHz)]]&gt;=170,Table1[[#This Row],[Frequency (GHz)]]&lt;260),Table1[[#This Row],[Max Chip Thermal Density (W/cm2)]],#N/A)</f>
        <v>#N/A</v>
      </c>
      <c r="AU142" s="1" t="e">
        <f>IF(AND(ISNUMBER(Table1[[#This Row],[Max Chip Thermal Density (W/cm2)]]),Table1[[#This Row],[Frequency (GHz)]]&gt;=260),Table1[[#This Row],[Max Chip Thermal Density (W/cm2)]],#N/A)</f>
        <v>#N/A</v>
      </c>
    </row>
    <row r="143" spans="1:47" x14ac:dyDescent="0.2">
      <c r="A143" s="25">
        <f>IF(ISNUMBER(Table1[[#This Row],[Total Pout/Prad (dBm)]]),Table1[[#This Row],[Total Pout/Prad (dBm)]],#N/A)</f>
        <v>25.04119982655925</v>
      </c>
      <c r="B143" s="1">
        <f>IF(ISNUMBER(Table1[[#This Row],[Total Pout/Prad (dBm)]]),Table1[[#This Row],[Total '# of TX Elements]],#N/A)</f>
        <v>16</v>
      </c>
      <c r="C143" s="1">
        <f>IF(ISNUMBER(Table1[[#This Row],[TX EIRP (dBm)]]),Table1[[#This Row],[TX EIRP (dBm)]],#N/A)</f>
        <v>30</v>
      </c>
      <c r="D143" s="1">
        <f>Table1[[#This Row],[TX Pdc (W)]]</f>
        <v>4.4800000000000004</v>
      </c>
      <c r="E143" s="1">
        <f>IF(ISNUMBER(Table1[[#This Row],[Array Aperture Size (cm2)]]),Table1[[#This Row],[Array Aperture Size (cm2)]],IF(Table1[[#This Row],[Antenna on (None, Chip, AiP, PCB)]]="Chip",Table1[[#This Row],[Chip Core Size - X (mm)]]*Table1[[#This Row],[Chip Core Size -Y (mm)]]/100*Table1[[#This Row],['# of IC per Tile]]*Table1[[#This Row],['# of Array Tile]],#N/A))</f>
        <v>0.9376000000000001</v>
      </c>
      <c r="F143" s="1">
        <f t="shared" si="6"/>
        <v>7.1259368391745719</v>
      </c>
      <c r="G143" s="1">
        <f t="shared" si="7"/>
        <v>22.321428571428569</v>
      </c>
      <c r="L143" s="1" t="e">
        <f>IF(Table1[[#This Row],[Frequency (GHz)]]&lt;20,Plot_Data_Power!F143,#N/A)</f>
        <v>#N/A</v>
      </c>
      <c r="M143" s="1">
        <f>IF(AND(Table1[[#This Row],[Frequency (GHz)]]&gt;=20,Table1[[#This Row],[Frequency (GHz)]]&lt;50),Plot_Data_Power!F143,#N/A)</f>
        <v>7.1259368391745719</v>
      </c>
      <c r="N143" s="1" t="e">
        <f>IF(AND(Table1[[#This Row],[Frequency (GHz)]]&gt;=50,Table1[[#This Row],[Frequency (GHz)]]&lt;75),Plot_Data_Power!F143,#N/A)</f>
        <v>#N/A</v>
      </c>
      <c r="O143" s="1" t="e">
        <f>IF(AND(Table1[[#This Row],[Frequency (GHz)]]&gt;=75,Table1[[#This Row],[Frequency (GHz)]]&lt;110),Plot_Data_Power!F143,#N/A)</f>
        <v>#N/A</v>
      </c>
      <c r="P143" s="1" t="e">
        <f>IF(AND(Table1[[#This Row],[Frequency (GHz)]]&gt;=110,Table1[[#This Row],[Frequency (GHz)]]&lt;170),Plot_Data_Power!F143,#N/A)</f>
        <v>#N/A</v>
      </c>
      <c r="Q143" s="1" t="e">
        <f>IF(AND(Table1[[#This Row],[Frequency (GHz)]]&gt;=170,Table1[[#This Row],[Frequency (GHz)]]&lt;260),Plot_Data_Power!F143,#N/A)</f>
        <v>#N/A</v>
      </c>
      <c r="R143" s="1" t="e">
        <f>IF(Table1[[#This Row],[Frequency (GHz)]]&gt;=260,Plot_Data_Power!F143,#N/A)</f>
        <v>#N/A</v>
      </c>
      <c r="U143" s="1" t="e">
        <f>IF(Table1[[#This Row],[Frequency (GHz)]]&lt;20,Plot_Data_Power!G143,#N/A)</f>
        <v>#N/A</v>
      </c>
      <c r="V143" s="1">
        <f>IF(AND(Table1[[#This Row],[Frequency (GHz)]]&gt;=20,Table1[[#This Row],[Frequency (GHz)]]&lt;50),Plot_Data_Power!G143,#N/A)</f>
        <v>22.321428571428569</v>
      </c>
      <c r="W143" s="1" t="e">
        <f>IF(AND(Table1[[#This Row],[Frequency (GHz)]]&gt;=50,Table1[[#This Row],[Frequency (GHz)]]&lt;75),Plot_Data_Power!G143,#N/A)</f>
        <v>#N/A</v>
      </c>
      <c r="X143" s="1" t="e">
        <f>IF(AND(Table1[[#This Row],[Frequency (GHz)]]&gt;=75,Table1[[#This Row],[Frequency (GHz)]]&lt;110),Plot_Data_Power!G143,#N/A)</f>
        <v>#N/A</v>
      </c>
      <c r="Y143" s="1" t="e">
        <f>IF(AND(Table1[[#This Row],[Frequency (GHz)]]&gt;=110,Table1[[#This Row],[Frequency (GHz)]]&lt;170),Plot_Data_Power!G143,#N/A)</f>
        <v>#N/A</v>
      </c>
      <c r="Z143" s="1" t="e">
        <f>IF(AND(Table1[[#This Row],[Frequency (GHz)]]&gt;=170,Table1[[#This Row],[Frequency (GHz)]]&lt;260),Plot_Data_Power!G143,#N/A)</f>
        <v>#N/A</v>
      </c>
      <c r="AA143" s="1" t="e">
        <f>IF(Table1[[#This Row],[Frequency (GHz)]]&gt;=260,Plot_Data_Power!G143,#N/A)</f>
        <v>#N/A</v>
      </c>
      <c r="AD143" s="1">
        <f>IF(ISNUMBER(Table1[[#This Row],[Max Package Thermal Density (W/cm2)]]),Table1[[#This Row],[Max Package Thermal Density (W/cm2)]],#N/A)</f>
        <v>4.7781569965870307</v>
      </c>
      <c r="AE143" s="1" t="e">
        <f>IF(AND(ISNUMBER((Table1[[#This Row],[Max Package Thermal Density (W/cm2)]])),Table1[[#This Row],[Frequency (GHz)]]&lt;20),Table1[[#This Row],[Max Package Thermal Density (W/cm2)]],#N/A)</f>
        <v>#N/A</v>
      </c>
      <c r="AF143" s="1">
        <f>IF(AND(ISNUMBER(Table1[[#This Row],[Max Package Thermal Density (W/cm2)]]),Table1[[#This Row],[Frequency (GHz)]]&gt;=20,Table1[[#This Row],[Frequency (GHz)]]&lt;50),Table1[[#This Row],[Max Package Thermal Density (W/cm2)]],#N/A)</f>
        <v>4.7781569965870307</v>
      </c>
      <c r="AG143" s="1" t="e">
        <f>IF(AND(ISNUMBER(Table1[[#This Row],[Max Package Thermal Density (W/cm2)]]),Table1[[#This Row],[Frequency (GHz)]]&gt;=50,Table1[[#This Row],[Frequency (GHz)]]&lt;75),Table1[[#This Row],[Max Package Thermal Density (W/cm2)]],#N/A)</f>
        <v>#N/A</v>
      </c>
      <c r="AH143" s="1" t="e">
        <f>IF(AND(ISNUMBER(Table1[[#This Row],[Max Package Thermal Density (W/cm2)]]),Table1[[#This Row],[Frequency (GHz)]]&gt;=75,Table1[[#This Row],[Frequency (GHz)]]&lt;110),Table1[[#This Row],[Max Package Thermal Density (W/cm2)]],#N/A)</f>
        <v>#N/A</v>
      </c>
      <c r="AI143" s="1" t="e">
        <f>IF(AND(ISNUMBER(Table1[[#This Row],[Max Package Thermal Density (W/cm2)]]),Table1[[#This Row],[Frequency (GHz)]]&gt;=110,Table1[[#This Row],[Frequency (GHz)]]&lt;170),Table1[[#This Row],[Max Package Thermal Density (W/cm2)]],#N/A)</f>
        <v>#N/A</v>
      </c>
      <c r="AJ143" s="1" t="e">
        <f>IF(AND(ISNUMBER(Table1[[#This Row],[Max Package Thermal Density (W/cm2)]]),Table1[[#This Row],[Frequency (GHz)]]&gt;=170,Table1[[#This Row],[Frequency (GHz)]]&lt;260),Table1[[#This Row],[Max Package Thermal Density (W/cm2)]],#N/A)</f>
        <v>#N/A</v>
      </c>
      <c r="AK143" s="1" t="e">
        <f>IF(AND(ISNUMBER(Table1[[#This Row],[Max Package Thermal Density (W/cm2)]]),Table1[[#This Row],[Frequency (GHz)]]&gt;=260),Table1[[#This Row],[Max Package Thermal Density (W/cm2)]],#N/A)</f>
        <v>#N/A</v>
      </c>
      <c r="AN143" s="1">
        <f>IF(ISNUMBER(Table1[[#This Row],[Max Chip Thermal Density (W/cm2)]]),Table1[[#This Row],[Max Chip Thermal Density (W/cm2)]],#N/A)</f>
        <v>9.9290780141843982</v>
      </c>
      <c r="AO143" s="1" t="e">
        <f>IF(AND(ISNUMBER((Table1[[#This Row],[Max Chip Thermal Density (W/cm2)]])),Table1[[#This Row],[Frequency (GHz)]]&lt;20),Table1[[#This Row],[Max Chip Thermal Density (W/cm2)]],#N/A)</f>
        <v>#N/A</v>
      </c>
      <c r="AP143" s="1">
        <f>IF(AND(ISNUMBER(Table1[[#This Row],[Max Chip Thermal Density (W/cm2)]]),Table1[[#This Row],[Frequency (GHz)]]&gt;=20,Table1[[#This Row],[Frequency (GHz)]]&lt;50),Table1[[#This Row],[Max Chip Thermal Density (W/cm2)]],#N/A)</f>
        <v>9.9290780141843982</v>
      </c>
      <c r="AQ143" s="1" t="e">
        <f>IF(AND(ISNUMBER(Table1[[#This Row],[Max Chip Thermal Density (W/cm2)]]),Table1[[#This Row],[Frequency (GHz)]]&gt;=50,Table1[[#This Row],[Frequency (GHz)]]&lt;75),Table1[[#This Row],[Max Chip Thermal Density (W/cm2)]],#N/A)</f>
        <v>#N/A</v>
      </c>
      <c r="AR143" s="1" t="e">
        <f>IF(AND(ISNUMBER(Table1[[#This Row],[Max Chip Thermal Density (W/cm2)]]),Table1[[#This Row],[Frequency (GHz)]]&gt;=75,Table1[[#This Row],[Frequency (GHz)]]&lt;110),Table1[[#This Row],[Max Chip Thermal Density (W/cm2)]],#N/A)</f>
        <v>#N/A</v>
      </c>
      <c r="AS143" s="1" t="e">
        <f>IF(AND(ISNUMBER(Table1[[#This Row],[Max Chip Thermal Density (W/cm2)]]),Table1[[#This Row],[Frequency (GHz)]]&gt;=110,Table1[[#This Row],[Frequency (GHz)]]&lt;170),Table1[[#This Row],[Max Chip Thermal Density (W/cm2)]],#N/A)</f>
        <v>#N/A</v>
      </c>
      <c r="AT143" s="1" t="e">
        <f>IF(AND(ISNUMBER(Table1[[#This Row],[Max Chip Thermal Density (W/cm2)]]),Table1[[#This Row],[Frequency (GHz)]]&gt;=170,Table1[[#This Row],[Frequency (GHz)]]&lt;260),Table1[[#This Row],[Max Chip Thermal Density (W/cm2)]],#N/A)</f>
        <v>#N/A</v>
      </c>
      <c r="AU143" s="1" t="e">
        <f>IF(AND(ISNUMBER(Table1[[#This Row],[Max Chip Thermal Density (W/cm2)]]),Table1[[#This Row],[Frequency (GHz)]]&gt;=260),Table1[[#This Row],[Max Chip Thermal Density (W/cm2)]],#N/A)</f>
        <v>#N/A</v>
      </c>
    </row>
    <row r="144" spans="1:47" x14ac:dyDescent="0.2">
      <c r="A144" s="25">
        <f>IF(ISNUMBER(Table1[[#This Row],[Total Pout/Prad (dBm)]]),Table1[[#This Row],[Total Pout/Prad (dBm)]],#N/A)</f>
        <v>9.0205999132796251</v>
      </c>
      <c r="B144" s="1">
        <f>IF(ISNUMBER(Table1[[#This Row],[Total Pout/Prad (dBm)]]),Table1[[#This Row],[Total '# of TX Elements]],#N/A)</f>
        <v>4</v>
      </c>
      <c r="C144" s="1" t="e">
        <f>IF(ISNUMBER(Table1[[#This Row],[TX EIRP (dBm)]]),Table1[[#This Row],[TX EIRP (dBm)]],#N/A)</f>
        <v>#N/A</v>
      </c>
      <c r="D144" s="1">
        <f>Table1[[#This Row],[TX Pdc (W)]]</f>
        <v>1.8879999999999999</v>
      </c>
      <c r="E144"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44" s="1">
        <f t="shared" si="6"/>
        <v>0.42272506673069504</v>
      </c>
      <c r="G144" s="1" t="e">
        <f t="shared" si="7"/>
        <v>#N/A</v>
      </c>
      <c r="L144" s="1" t="e">
        <f>IF(Table1[[#This Row],[Frequency (GHz)]]&lt;20,Plot_Data_Power!F144,#N/A)</f>
        <v>#N/A</v>
      </c>
      <c r="M144" s="1">
        <f>IF(AND(Table1[[#This Row],[Frequency (GHz)]]&gt;=20,Table1[[#This Row],[Frequency (GHz)]]&lt;50),Plot_Data_Power!F144,#N/A)</f>
        <v>0.42272506673069504</v>
      </c>
      <c r="N144" s="1" t="e">
        <f>IF(AND(Table1[[#This Row],[Frequency (GHz)]]&gt;=50,Table1[[#This Row],[Frequency (GHz)]]&lt;75),Plot_Data_Power!F144,#N/A)</f>
        <v>#N/A</v>
      </c>
      <c r="O144" s="1" t="e">
        <f>IF(AND(Table1[[#This Row],[Frequency (GHz)]]&gt;=75,Table1[[#This Row],[Frequency (GHz)]]&lt;110),Plot_Data_Power!F144,#N/A)</f>
        <v>#N/A</v>
      </c>
      <c r="P144" s="1" t="e">
        <f>IF(AND(Table1[[#This Row],[Frequency (GHz)]]&gt;=110,Table1[[#This Row],[Frequency (GHz)]]&lt;170),Plot_Data_Power!F144,#N/A)</f>
        <v>#N/A</v>
      </c>
      <c r="Q144" s="1" t="e">
        <f>IF(AND(Table1[[#This Row],[Frequency (GHz)]]&gt;=170,Table1[[#This Row],[Frequency (GHz)]]&lt;260),Plot_Data_Power!F144,#N/A)</f>
        <v>#N/A</v>
      </c>
      <c r="R144" s="1" t="e">
        <f>IF(Table1[[#This Row],[Frequency (GHz)]]&gt;=260,Plot_Data_Power!F144,#N/A)</f>
        <v>#N/A</v>
      </c>
      <c r="U144" s="1" t="e">
        <f>IF(Table1[[#This Row],[Frequency (GHz)]]&lt;20,Plot_Data_Power!G144,#N/A)</f>
        <v>#N/A</v>
      </c>
      <c r="V144" s="1" t="e">
        <f>IF(AND(Table1[[#This Row],[Frequency (GHz)]]&gt;=20,Table1[[#This Row],[Frequency (GHz)]]&lt;50),Plot_Data_Power!G144,#N/A)</f>
        <v>#N/A</v>
      </c>
      <c r="W144" s="1" t="e">
        <f>IF(AND(Table1[[#This Row],[Frequency (GHz)]]&gt;=50,Table1[[#This Row],[Frequency (GHz)]]&lt;75),Plot_Data_Power!G144,#N/A)</f>
        <v>#N/A</v>
      </c>
      <c r="X144" s="1" t="e">
        <f>IF(AND(Table1[[#This Row],[Frequency (GHz)]]&gt;=75,Table1[[#This Row],[Frequency (GHz)]]&lt;110),Plot_Data_Power!G144,#N/A)</f>
        <v>#N/A</v>
      </c>
      <c r="Y144" s="1" t="e">
        <f>IF(AND(Table1[[#This Row],[Frequency (GHz)]]&gt;=110,Table1[[#This Row],[Frequency (GHz)]]&lt;170),Plot_Data_Power!G144,#N/A)</f>
        <v>#N/A</v>
      </c>
      <c r="Z144" s="1" t="e">
        <f>IF(AND(Table1[[#This Row],[Frequency (GHz)]]&gt;=170,Table1[[#This Row],[Frequency (GHz)]]&lt;260),Plot_Data_Power!G144,#N/A)</f>
        <v>#N/A</v>
      </c>
      <c r="AA144" s="1" t="e">
        <f>IF(Table1[[#This Row],[Frequency (GHz)]]&gt;=260,Plot_Data_Power!G144,#N/A)</f>
        <v>#N/A</v>
      </c>
      <c r="AD144" s="1" t="e">
        <f>IF(ISNUMBER(Table1[[#This Row],[Max Package Thermal Density (W/cm2)]]),Table1[[#This Row],[Max Package Thermal Density (W/cm2)]],#N/A)</f>
        <v>#N/A</v>
      </c>
      <c r="AE144" s="1" t="e">
        <f>IF(AND(ISNUMBER((Table1[[#This Row],[Max Package Thermal Density (W/cm2)]])),Table1[[#This Row],[Frequency (GHz)]]&lt;20),Table1[[#This Row],[Max Package Thermal Density (W/cm2)]],#N/A)</f>
        <v>#N/A</v>
      </c>
      <c r="AF144" s="1" t="e">
        <f>IF(AND(ISNUMBER(Table1[[#This Row],[Max Package Thermal Density (W/cm2)]]),Table1[[#This Row],[Frequency (GHz)]]&gt;=20,Table1[[#This Row],[Frequency (GHz)]]&lt;50),Table1[[#This Row],[Max Package Thermal Density (W/cm2)]],#N/A)</f>
        <v>#N/A</v>
      </c>
      <c r="AG144" s="1" t="e">
        <f>IF(AND(ISNUMBER(Table1[[#This Row],[Max Package Thermal Density (W/cm2)]]),Table1[[#This Row],[Frequency (GHz)]]&gt;=50,Table1[[#This Row],[Frequency (GHz)]]&lt;75),Table1[[#This Row],[Max Package Thermal Density (W/cm2)]],#N/A)</f>
        <v>#N/A</v>
      </c>
      <c r="AH144" s="1" t="e">
        <f>IF(AND(ISNUMBER(Table1[[#This Row],[Max Package Thermal Density (W/cm2)]]),Table1[[#This Row],[Frequency (GHz)]]&gt;=75,Table1[[#This Row],[Frequency (GHz)]]&lt;110),Table1[[#This Row],[Max Package Thermal Density (W/cm2)]],#N/A)</f>
        <v>#N/A</v>
      </c>
      <c r="AI144" s="1" t="e">
        <f>IF(AND(ISNUMBER(Table1[[#This Row],[Max Package Thermal Density (W/cm2)]]),Table1[[#This Row],[Frequency (GHz)]]&gt;=110,Table1[[#This Row],[Frequency (GHz)]]&lt;170),Table1[[#This Row],[Max Package Thermal Density (W/cm2)]],#N/A)</f>
        <v>#N/A</v>
      </c>
      <c r="AJ144" s="1" t="e">
        <f>IF(AND(ISNUMBER(Table1[[#This Row],[Max Package Thermal Density (W/cm2)]]),Table1[[#This Row],[Frequency (GHz)]]&gt;=170,Table1[[#This Row],[Frequency (GHz)]]&lt;260),Table1[[#This Row],[Max Package Thermal Density (W/cm2)]],#N/A)</f>
        <v>#N/A</v>
      </c>
      <c r="AK144" s="1" t="e">
        <f>IF(AND(ISNUMBER(Table1[[#This Row],[Max Package Thermal Density (W/cm2)]]),Table1[[#This Row],[Frequency (GHz)]]&gt;=260),Table1[[#This Row],[Max Package Thermal Density (W/cm2)]],#N/A)</f>
        <v>#N/A</v>
      </c>
      <c r="AN144" s="1">
        <f>IF(ISNUMBER(Table1[[#This Row],[Max Chip Thermal Density (W/cm2)]]),Table1[[#This Row],[Max Chip Thermal Density (W/cm2)]],#N/A)</f>
        <v>12.267706302794018</v>
      </c>
      <c r="AO144" s="1" t="e">
        <f>IF(AND(ISNUMBER((Table1[[#This Row],[Max Chip Thermal Density (W/cm2)]])),Table1[[#This Row],[Frequency (GHz)]]&lt;20),Table1[[#This Row],[Max Chip Thermal Density (W/cm2)]],#N/A)</f>
        <v>#N/A</v>
      </c>
      <c r="AP144" s="1">
        <f>IF(AND(ISNUMBER(Table1[[#This Row],[Max Chip Thermal Density (W/cm2)]]),Table1[[#This Row],[Frequency (GHz)]]&gt;=20,Table1[[#This Row],[Frequency (GHz)]]&lt;50),Table1[[#This Row],[Max Chip Thermal Density (W/cm2)]],#N/A)</f>
        <v>12.267706302794018</v>
      </c>
      <c r="AQ144" s="1" t="e">
        <f>IF(AND(ISNUMBER(Table1[[#This Row],[Max Chip Thermal Density (W/cm2)]]),Table1[[#This Row],[Frequency (GHz)]]&gt;=50,Table1[[#This Row],[Frequency (GHz)]]&lt;75),Table1[[#This Row],[Max Chip Thermal Density (W/cm2)]],#N/A)</f>
        <v>#N/A</v>
      </c>
      <c r="AR144" s="1" t="e">
        <f>IF(AND(ISNUMBER(Table1[[#This Row],[Max Chip Thermal Density (W/cm2)]]),Table1[[#This Row],[Frequency (GHz)]]&gt;=75,Table1[[#This Row],[Frequency (GHz)]]&lt;110),Table1[[#This Row],[Max Chip Thermal Density (W/cm2)]],#N/A)</f>
        <v>#N/A</v>
      </c>
      <c r="AS144" s="1" t="e">
        <f>IF(AND(ISNUMBER(Table1[[#This Row],[Max Chip Thermal Density (W/cm2)]]),Table1[[#This Row],[Frequency (GHz)]]&gt;=110,Table1[[#This Row],[Frequency (GHz)]]&lt;170),Table1[[#This Row],[Max Chip Thermal Density (W/cm2)]],#N/A)</f>
        <v>#N/A</v>
      </c>
      <c r="AT144" s="1" t="e">
        <f>IF(AND(ISNUMBER(Table1[[#This Row],[Max Chip Thermal Density (W/cm2)]]),Table1[[#This Row],[Frequency (GHz)]]&gt;=170,Table1[[#This Row],[Frequency (GHz)]]&lt;260),Table1[[#This Row],[Max Chip Thermal Density (W/cm2)]],#N/A)</f>
        <v>#N/A</v>
      </c>
      <c r="AU144" s="1" t="e">
        <f>IF(AND(ISNUMBER(Table1[[#This Row],[Max Chip Thermal Density (W/cm2)]]),Table1[[#This Row],[Frequency (GHz)]]&gt;=260),Table1[[#This Row],[Max Chip Thermal Density (W/cm2)]],#N/A)</f>
        <v>#N/A</v>
      </c>
    </row>
    <row r="145" spans="1:47" x14ac:dyDescent="0.2">
      <c r="A145" s="25" t="e">
        <f>IF(ISNUMBER(Table1[[#This Row],[Total Pout/Prad (dBm)]]),Table1[[#This Row],[Total Pout/Prad (dBm)]],#N/A)</f>
        <v>#N/A</v>
      </c>
      <c r="B145" s="1" t="e">
        <f>IF(ISNUMBER(Table1[[#This Row],[Total Pout/Prad (dBm)]]),Table1[[#This Row],[Total '# of TX Elements]],#N/A)</f>
        <v>#N/A</v>
      </c>
      <c r="C145" s="1" t="e">
        <f>IF(ISNUMBER(Table1[[#This Row],[TX EIRP (dBm)]]),Table1[[#This Row],[TX EIRP (dBm)]],#N/A)</f>
        <v>#N/A</v>
      </c>
      <c r="D145" s="1" t="str">
        <f>Table1[[#This Row],[TX Pdc (W)]]</f>
        <v>N/A</v>
      </c>
      <c r="E145"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45" s="1" t="e">
        <f t="shared" si="6"/>
        <v>#N/A</v>
      </c>
      <c r="G145" s="1" t="e">
        <f t="shared" si="7"/>
        <v>#N/A</v>
      </c>
      <c r="L145" s="1" t="e">
        <f>IF(Table1[[#This Row],[Frequency (GHz)]]&lt;20,Plot_Data_Power!F145,#N/A)</f>
        <v>#N/A</v>
      </c>
      <c r="M145" s="1" t="e">
        <f>IF(AND(Table1[[#This Row],[Frequency (GHz)]]&gt;=20,Table1[[#This Row],[Frequency (GHz)]]&lt;50),Plot_Data_Power!F145,#N/A)</f>
        <v>#N/A</v>
      </c>
      <c r="N145" s="1" t="e">
        <f>IF(AND(Table1[[#This Row],[Frequency (GHz)]]&gt;=50,Table1[[#This Row],[Frequency (GHz)]]&lt;75),Plot_Data_Power!F145,#N/A)</f>
        <v>#N/A</v>
      </c>
      <c r="O145" s="1" t="e">
        <f>IF(AND(Table1[[#This Row],[Frequency (GHz)]]&gt;=75,Table1[[#This Row],[Frequency (GHz)]]&lt;110),Plot_Data_Power!F145,#N/A)</f>
        <v>#N/A</v>
      </c>
      <c r="P145" s="1" t="e">
        <f>IF(AND(Table1[[#This Row],[Frequency (GHz)]]&gt;=110,Table1[[#This Row],[Frequency (GHz)]]&lt;170),Plot_Data_Power!F145,#N/A)</f>
        <v>#N/A</v>
      </c>
      <c r="Q145" s="1" t="e">
        <f>IF(AND(Table1[[#This Row],[Frequency (GHz)]]&gt;=170,Table1[[#This Row],[Frequency (GHz)]]&lt;260),Plot_Data_Power!F145,#N/A)</f>
        <v>#N/A</v>
      </c>
      <c r="R145" s="1" t="e">
        <f>IF(Table1[[#This Row],[Frequency (GHz)]]&gt;=260,Plot_Data_Power!F145,#N/A)</f>
        <v>#N/A</v>
      </c>
      <c r="U145" s="1" t="e">
        <f>IF(Table1[[#This Row],[Frequency (GHz)]]&lt;20,Plot_Data_Power!G145,#N/A)</f>
        <v>#N/A</v>
      </c>
      <c r="V145" s="1" t="e">
        <f>IF(AND(Table1[[#This Row],[Frequency (GHz)]]&gt;=20,Table1[[#This Row],[Frequency (GHz)]]&lt;50),Plot_Data_Power!G145,#N/A)</f>
        <v>#N/A</v>
      </c>
      <c r="W145" s="1" t="e">
        <f>IF(AND(Table1[[#This Row],[Frequency (GHz)]]&gt;=50,Table1[[#This Row],[Frequency (GHz)]]&lt;75),Plot_Data_Power!G145,#N/A)</f>
        <v>#N/A</v>
      </c>
      <c r="X145" s="1" t="e">
        <f>IF(AND(Table1[[#This Row],[Frequency (GHz)]]&gt;=75,Table1[[#This Row],[Frequency (GHz)]]&lt;110),Plot_Data_Power!G145,#N/A)</f>
        <v>#N/A</v>
      </c>
      <c r="Y145" s="1" t="e">
        <f>IF(AND(Table1[[#This Row],[Frequency (GHz)]]&gt;=110,Table1[[#This Row],[Frequency (GHz)]]&lt;170),Plot_Data_Power!G145,#N/A)</f>
        <v>#N/A</v>
      </c>
      <c r="Z145" s="1" t="e">
        <f>IF(AND(Table1[[#This Row],[Frequency (GHz)]]&gt;=170,Table1[[#This Row],[Frequency (GHz)]]&lt;260),Plot_Data_Power!G145,#N/A)</f>
        <v>#N/A</v>
      </c>
      <c r="AA145" s="1" t="e">
        <f>IF(Table1[[#This Row],[Frequency (GHz)]]&gt;=260,Plot_Data_Power!G145,#N/A)</f>
        <v>#N/A</v>
      </c>
      <c r="AD145" s="1" t="e">
        <f>IF(ISNUMBER(Table1[[#This Row],[Max Package Thermal Density (W/cm2)]]),Table1[[#This Row],[Max Package Thermal Density (W/cm2)]],#N/A)</f>
        <v>#N/A</v>
      </c>
      <c r="AE145" s="1" t="e">
        <f>IF(AND(ISNUMBER((Table1[[#This Row],[Max Package Thermal Density (W/cm2)]])),Table1[[#This Row],[Frequency (GHz)]]&lt;20),Table1[[#This Row],[Max Package Thermal Density (W/cm2)]],#N/A)</f>
        <v>#N/A</v>
      </c>
      <c r="AF145" s="1" t="e">
        <f>IF(AND(ISNUMBER(Table1[[#This Row],[Max Package Thermal Density (W/cm2)]]),Table1[[#This Row],[Frequency (GHz)]]&gt;=20,Table1[[#This Row],[Frequency (GHz)]]&lt;50),Table1[[#This Row],[Max Package Thermal Density (W/cm2)]],#N/A)</f>
        <v>#N/A</v>
      </c>
      <c r="AG145" s="1" t="e">
        <f>IF(AND(ISNUMBER(Table1[[#This Row],[Max Package Thermal Density (W/cm2)]]),Table1[[#This Row],[Frequency (GHz)]]&gt;=50,Table1[[#This Row],[Frequency (GHz)]]&lt;75),Table1[[#This Row],[Max Package Thermal Density (W/cm2)]],#N/A)</f>
        <v>#N/A</v>
      </c>
      <c r="AH145" s="1" t="e">
        <f>IF(AND(ISNUMBER(Table1[[#This Row],[Max Package Thermal Density (W/cm2)]]),Table1[[#This Row],[Frequency (GHz)]]&gt;=75,Table1[[#This Row],[Frequency (GHz)]]&lt;110),Table1[[#This Row],[Max Package Thermal Density (W/cm2)]],#N/A)</f>
        <v>#N/A</v>
      </c>
      <c r="AI145" s="1" t="e">
        <f>IF(AND(ISNUMBER(Table1[[#This Row],[Max Package Thermal Density (W/cm2)]]),Table1[[#This Row],[Frequency (GHz)]]&gt;=110,Table1[[#This Row],[Frequency (GHz)]]&lt;170),Table1[[#This Row],[Max Package Thermal Density (W/cm2)]],#N/A)</f>
        <v>#N/A</v>
      </c>
      <c r="AJ145" s="1" t="e">
        <f>IF(AND(ISNUMBER(Table1[[#This Row],[Max Package Thermal Density (W/cm2)]]),Table1[[#This Row],[Frequency (GHz)]]&gt;=170,Table1[[#This Row],[Frequency (GHz)]]&lt;260),Table1[[#This Row],[Max Package Thermal Density (W/cm2)]],#N/A)</f>
        <v>#N/A</v>
      </c>
      <c r="AK145" s="1" t="e">
        <f>IF(AND(ISNUMBER(Table1[[#This Row],[Max Package Thermal Density (W/cm2)]]),Table1[[#This Row],[Frequency (GHz)]]&gt;=260),Table1[[#This Row],[Max Package Thermal Density (W/cm2)]],#N/A)</f>
        <v>#N/A</v>
      </c>
      <c r="AN145" s="1">
        <f>IF(ISNUMBER(Table1[[#This Row],[Max Chip Thermal Density (W/cm2)]]),Table1[[#This Row],[Max Chip Thermal Density (W/cm2)]],#N/A)</f>
        <v>3.5013262599469495</v>
      </c>
      <c r="AO145" s="1" t="e">
        <f>IF(AND(ISNUMBER((Table1[[#This Row],[Max Chip Thermal Density (W/cm2)]])),Table1[[#This Row],[Frequency (GHz)]]&lt;20),Table1[[#This Row],[Max Chip Thermal Density (W/cm2)]],#N/A)</f>
        <v>#N/A</v>
      </c>
      <c r="AP145" s="1">
        <f>IF(AND(ISNUMBER(Table1[[#This Row],[Max Chip Thermal Density (W/cm2)]]),Table1[[#This Row],[Frequency (GHz)]]&gt;=20,Table1[[#This Row],[Frequency (GHz)]]&lt;50),Table1[[#This Row],[Max Chip Thermal Density (W/cm2)]],#N/A)</f>
        <v>3.5013262599469495</v>
      </c>
      <c r="AQ145" s="1" t="e">
        <f>IF(AND(ISNUMBER(Table1[[#This Row],[Max Chip Thermal Density (W/cm2)]]),Table1[[#This Row],[Frequency (GHz)]]&gt;=50,Table1[[#This Row],[Frequency (GHz)]]&lt;75),Table1[[#This Row],[Max Chip Thermal Density (W/cm2)]],#N/A)</f>
        <v>#N/A</v>
      </c>
      <c r="AR145" s="1" t="e">
        <f>IF(AND(ISNUMBER(Table1[[#This Row],[Max Chip Thermal Density (W/cm2)]]),Table1[[#This Row],[Frequency (GHz)]]&gt;=75,Table1[[#This Row],[Frequency (GHz)]]&lt;110),Table1[[#This Row],[Max Chip Thermal Density (W/cm2)]],#N/A)</f>
        <v>#N/A</v>
      </c>
      <c r="AS145" s="1" t="e">
        <f>IF(AND(ISNUMBER(Table1[[#This Row],[Max Chip Thermal Density (W/cm2)]]),Table1[[#This Row],[Frequency (GHz)]]&gt;=110,Table1[[#This Row],[Frequency (GHz)]]&lt;170),Table1[[#This Row],[Max Chip Thermal Density (W/cm2)]],#N/A)</f>
        <v>#N/A</v>
      </c>
      <c r="AT145" s="1" t="e">
        <f>IF(AND(ISNUMBER(Table1[[#This Row],[Max Chip Thermal Density (W/cm2)]]),Table1[[#This Row],[Frequency (GHz)]]&gt;=170,Table1[[#This Row],[Frequency (GHz)]]&lt;260),Table1[[#This Row],[Max Chip Thermal Density (W/cm2)]],#N/A)</f>
        <v>#N/A</v>
      </c>
      <c r="AU145" s="1" t="e">
        <f>IF(AND(ISNUMBER(Table1[[#This Row],[Max Chip Thermal Density (W/cm2)]]),Table1[[#This Row],[Frequency (GHz)]]&gt;=260),Table1[[#This Row],[Max Chip Thermal Density (W/cm2)]],#N/A)</f>
        <v>#N/A</v>
      </c>
    </row>
    <row r="146" spans="1:47" x14ac:dyDescent="0.2">
      <c r="A146" s="25">
        <f>IF(ISNUMBER(Table1[[#This Row],[Total Pout/Prad (dBm)]]),Table1[[#This Row],[Total Pout/Prad (dBm)]],#N/A)</f>
        <v>22.993405494535818</v>
      </c>
      <c r="B146" s="1">
        <f>IF(ISNUMBER(Table1[[#This Row],[Total Pout/Prad (dBm)]]),Table1[[#This Row],[Total '# of TX Elements]],#N/A)</f>
        <v>63</v>
      </c>
      <c r="C146" s="1">
        <f>IF(ISNUMBER(Table1[[#This Row],[TX EIRP (dBm)]]),Table1[[#This Row],[TX EIRP (dBm)]],#N/A)</f>
        <v>37.5</v>
      </c>
      <c r="D146" s="1" t="str">
        <f>Table1[[#This Row],[TX Pdc (W)]]</f>
        <v>N/A</v>
      </c>
      <c r="E146" s="1">
        <f>IF(ISNUMBER(Table1[[#This Row],[Array Aperture Size (cm2)]]),Table1[[#This Row],[Array Aperture Size (cm2)]],IF(Table1[[#This Row],[Antenna on (None, Chip, AiP, PCB)]]="Chip",Table1[[#This Row],[Chip Core Size - X (mm)]]*Table1[[#This Row],[Chip Core Size -Y (mm)]]/100*Table1[[#This Row],['# of IC per Tile]]*Table1[[#This Row],['# of Array Tile]],#N/A))</f>
        <v>0.75529999999999997</v>
      </c>
      <c r="F146" s="1" t="e">
        <f t="shared" si="6"/>
        <v>#N/A</v>
      </c>
      <c r="G146" s="1" t="e">
        <f t="shared" si="7"/>
        <v>#N/A</v>
      </c>
      <c r="L146" s="1" t="e">
        <f>IF(Table1[[#This Row],[Frequency (GHz)]]&lt;20,Plot_Data_Power!F146,#N/A)</f>
        <v>#N/A</v>
      </c>
      <c r="M146" s="1" t="e">
        <f>IF(AND(Table1[[#This Row],[Frequency (GHz)]]&gt;=20,Table1[[#This Row],[Frequency (GHz)]]&lt;50),Plot_Data_Power!F146,#N/A)</f>
        <v>#N/A</v>
      </c>
      <c r="N146" s="1" t="e">
        <f>IF(AND(Table1[[#This Row],[Frequency (GHz)]]&gt;=50,Table1[[#This Row],[Frequency (GHz)]]&lt;75),Plot_Data_Power!F146,#N/A)</f>
        <v>#N/A</v>
      </c>
      <c r="O146" s="1" t="e">
        <f>IF(AND(Table1[[#This Row],[Frequency (GHz)]]&gt;=75,Table1[[#This Row],[Frequency (GHz)]]&lt;110),Plot_Data_Power!F146,#N/A)</f>
        <v>#N/A</v>
      </c>
      <c r="P146" s="1" t="e">
        <f>IF(AND(Table1[[#This Row],[Frequency (GHz)]]&gt;=110,Table1[[#This Row],[Frequency (GHz)]]&lt;170),Plot_Data_Power!F146,#N/A)</f>
        <v>#N/A</v>
      </c>
      <c r="Q146" s="1" t="e">
        <f>IF(AND(Table1[[#This Row],[Frequency (GHz)]]&gt;=170,Table1[[#This Row],[Frequency (GHz)]]&lt;260),Plot_Data_Power!F146,#N/A)</f>
        <v>#N/A</v>
      </c>
      <c r="R146" s="1" t="e">
        <f>IF(Table1[[#This Row],[Frequency (GHz)]]&gt;=260,Plot_Data_Power!F146,#N/A)</f>
        <v>#N/A</v>
      </c>
      <c r="U146" s="1" t="e">
        <f>IF(Table1[[#This Row],[Frequency (GHz)]]&lt;20,Plot_Data_Power!G146,#N/A)</f>
        <v>#N/A</v>
      </c>
      <c r="V146" s="1" t="e">
        <f>IF(AND(Table1[[#This Row],[Frequency (GHz)]]&gt;=20,Table1[[#This Row],[Frequency (GHz)]]&lt;50),Plot_Data_Power!G146,#N/A)</f>
        <v>#N/A</v>
      </c>
      <c r="W146" s="1" t="e">
        <f>IF(AND(Table1[[#This Row],[Frequency (GHz)]]&gt;=50,Table1[[#This Row],[Frequency (GHz)]]&lt;75),Plot_Data_Power!G146,#N/A)</f>
        <v>#N/A</v>
      </c>
      <c r="X146" s="1" t="e">
        <f>IF(AND(Table1[[#This Row],[Frequency (GHz)]]&gt;=75,Table1[[#This Row],[Frequency (GHz)]]&lt;110),Plot_Data_Power!G146,#N/A)</f>
        <v>#N/A</v>
      </c>
      <c r="Y146" s="1" t="e">
        <f>IF(AND(Table1[[#This Row],[Frequency (GHz)]]&gt;=110,Table1[[#This Row],[Frequency (GHz)]]&lt;170),Plot_Data_Power!G146,#N/A)</f>
        <v>#N/A</v>
      </c>
      <c r="Z146" s="1" t="e">
        <f>IF(AND(Table1[[#This Row],[Frequency (GHz)]]&gt;=170,Table1[[#This Row],[Frequency (GHz)]]&lt;260),Plot_Data_Power!G146,#N/A)</f>
        <v>#N/A</v>
      </c>
      <c r="AA146" s="1" t="e">
        <f>IF(Table1[[#This Row],[Frequency (GHz)]]&gt;=260,Plot_Data_Power!G146,#N/A)</f>
        <v>#N/A</v>
      </c>
      <c r="AD146" s="1" t="e">
        <f>IF(ISNUMBER(Table1[[#This Row],[Max Package Thermal Density (W/cm2)]]),Table1[[#This Row],[Max Package Thermal Density (W/cm2)]],#N/A)</f>
        <v>#N/A</v>
      </c>
      <c r="AE146" s="1" t="e">
        <f>IF(AND(ISNUMBER((Table1[[#This Row],[Max Package Thermal Density (W/cm2)]])),Table1[[#This Row],[Frequency (GHz)]]&lt;20),Table1[[#This Row],[Max Package Thermal Density (W/cm2)]],#N/A)</f>
        <v>#N/A</v>
      </c>
      <c r="AF146" s="1" t="e">
        <f>IF(AND(ISNUMBER(Table1[[#This Row],[Max Package Thermal Density (W/cm2)]]),Table1[[#This Row],[Frequency (GHz)]]&gt;=20,Table1[[#This Row],[Frequency (GHz)]]&lt;50),Table1[[#This Row],[Max Package Thermal Density (W/cm2)]],#N/A)</f>
        <v>#N/A</v>
      </c>
      <c r="AG146" s="1" t="e">
        <f>IF(AND(ISNUMBER(Table1[[#This Row],[Max Package Thermal Density (W/cm2)]]),Table1[[#This Row],[Frequency (GHz)]]&gt;=50,Table1[[#This Row],[Frequency (GHz)]]&lt;75),Table1[[#This Row],[Max Package Thermal Density (W/cm2)]],#N/A)</f>
        <v>#N/A</v>
      </c>
      <c r="AH146" s="1" t="e">
        <f>IF(AND(ISNUMBER(Table1[[#This Row],[Max Package Thermal Density (W/cm2)]]),Table1[[#This Row],[Frequency (GHz)]]&gt;=75,Table1[[#This Row],[Frequency (GHz)]]&lt;110),Table1[[#This Row],[Max Package Thermal Density (W/cm2)]],#N/A)</f>
        <v>#N/A</v>
      </c>
      <c r="AI146" s="1" t="e">
        <f>IF(AND(ISNUMBER(Table1[[#This Row],[Max Package Thermal Density (W/cm2)]]),Table1[[#This Row],[Frequency (GHz)]]&gt;=110,Table1[[#This Row],[Frequency (GHz)]]&lt;170),Table1[[#This Row],[Max Package Thermal Density (W/cm2)]],#N/A)</f>
        <v>#N/A</v>
      </c>
      <c r="AJ146" s="1" t="e">
        <f>IF(AND(ISNUMBER(Table1[[#This Row],[Max Package Thermal Density (W/cm2)]]),Table1[[#This Row],[Frequency (GHz)]]&gt;=170,Table1[[#This Row],[Frequency (GHz)]]&lt;260),Table1[[#This Row],[Max Package Thermal Density (W/cm2)]],#N/A)</f>
        <v>#N/A</v>
      </c>
      <c r="AK146" s="1" t="e">
        <f>IF(AND(ISNUMBER(Table1[[#This Row],[Max Package Thermal Density (W/cm2)]]),Table1[[#This Row],[Frequency (GHz)]]&gt;=260),Table1[[#This Row],[Max Package Thermal Density (W/cm2)]],#N/A)</f>
        <v>#N/A</v>
      </c>
      <c r="AN146" s="1" t="e">
        <f>IF(ISNUMBER(Table1[[#This Row],[Max Chip Thermal Density (W/cm2)]]),Table1[[#This Row],[Max Chip Thermal Density (W/cm2)]],#N/A)</f>
        <v>#N/A</v>
      </c>
      <c r="AO146" s="1" t="e">
        <f>IF(AND(ISNUMBER((Table1[[#This Row],[Max Chip Thermal Density (W/cm2)]])),Table1[[#This Row],[Frequency (GHz)]]&lt;20),Table1[[#This Row],[Max Chip Thermal Density (W/cm2)]],#N/A)</f>
        <v>#N/A</v>
      </c>
      <c r="AP146" s="1" t="e">
        <f>IF(AND(ISNUMBER(Table1[[#This Row],[Max Chip Thermal Density (W/cm2)]]),Table1[[#This Row],[Frequency (GHz)]]&gt;=20,Table1[[#This Row],[Frequency (GHz)]]&lt;50),Table1[[#This Row],[Max Chip Thermal Density (W/cm2)]],#N/A)</f>
        <v>#N/A</v>
      </c>
      <c r="AQ146" s="1" t="e">
        <f>IF(AND(ISNUMBER(Table1[[#This Row],[Max Chip Thermal Density (W/cm2)]]),Table1[[#This Row],[Frequency (GHz)]]&gt;=50,Table1[[#This Row],[Frequency (GHz)]]&lt;75),Table1[[#This Row],[Max Chip Thermal Density (W/cm2)]],#N/A)</f>
        <v>#N/A</v>
      </c>
      <c r="AR146" s="1" t="e">
        <f>IF(AND(ISNUMBER(Table1[[#This Row],[Max Chip Thermal Density (W/cm2)]]),Table1[[#This Row],[Frequency (GHz)]]&gt;=75,Table1[[#This Row],[Frequency (GHz)]]&lt;110),Table1[[#This Row],[Max Chip Thermal Density (W/cm2)]],#N/A)</f>
        <v>#N/A</v>
      </c>
      <c r="AS146" s="1" t="e">
        <f>IF(AND(ISNUMBER(Table1[[#This Row],[Max Chip Thermal Density (W/cm2)]]),Table1[[#This Row],[Frequency (GHz)]]&gt;=110,Table1[[#This Row],[Frequency (GHz)]]&lt;170),Table1[[#This Row],[Max Chip Thermal Density (W/cm2)]],#N/A)</f>
        <v>#N/A</v>
      </c>
      <c r="AT146" s="1" t="e">
        <f>IF(AND(ISNUMBER(Table1[[#This Row],[Max Chip Thermal Density (W/cm2)]]),Table1[[#This Row],[Frequency (GHz)]]&gt;=170,Table1[[#This Row],[Frequency (GHz)]]&lt;260),Table1[[#This Row],[Max Chip Thermal Density (W/cm2)]],#N/A)</f>
        <v>#N/A</v>
      </c>
      <c r="AU146" s="1" t="e">
        <f>IF(AND(ISNUMBER(Table1[[#This Row],[Max Chip Thermal Density (W/cm2)]]),Table1[[#This Row],[Frequency (GHz)]]&gt;=260),Table1[[#This Row],[Max Chip Thermal Density (W/cm2)]],#N/A)</f>
        <v>#N/A</v>
      </c>
    </row>
    <row r="147" spans="1:47" x14ac:dyDescent="0.2">
      <c r="A147" s="25" t="e">
        <f>IF(ISNUMBER(Table1[[#This Row],[Total Pout/Prad (dBm)]]),Table1[[#This Row],[Total Pout/Prad (dBm)]],#N/A)</f>
        <v>#N/A</v>
      </c>
      <c r="B147" s="1" t="e">
        <f>IF(ISNUMBER(Table1[[#This Row],[Total Pout/Prad (dBm)]]),Table1[[#This Row],[Total '# of TX Elements]],#N/A)</f>
        <v>#N/A</v>
      </c>
      <c r="C147" s="1" t="e">
        <f>IF(ISNUMBER(Table1[[#This Row],[TX EIRP (dBm)]]),Table1[[#This Row],[TX EIRP (dBm)]],#N/A)</f>
        <v>#N/A</v>
      </c>
      <c r="D147" s="1" t="str">
        <f>Table1[[#This Row],[TX Pdc (W)]]</f>
        <v>N/A</v>
      </c>
      <c r="E147" s="1" t="e">
        <f>IF(ISNUMBER(Table1[[#This Row],[Array Aperture Size (cm2)]]),Table1[[#This Row],[Array Aperture Size (cm2)]],IF(Table1[[#This Row],[Antenna on (None, Chip, AiP, PCB)]]="Chip",Table1[[#This Row],[Chip Core Size - X (mm)]]*Table1[[#This Row],[Chip Core Size -Y (mm)]]/100*Table1[[#This Row],['# of IC per Tile]]*Table1[[#This Row],['# of Array Tile]],#N/A))</f>
        <v>#N/A</v>
      </c>
      <c r="F147" s="1" t="e">
        <f t="shared" si="6"/>
        <v>#N/A</v>
      </c>
      <c r="G147" s="1" t="e">
        <f t="shared" si="7"/>
        <v>#N/A</v>
      </c>
      <c r="L147" s="1" t="e">
        <f>IF(Table1[[#This Row],[Frequency (GHz)]]&lt;20,Plot_Data_Power!F147,#N/A)</f>
        <v>#N/A</v>
      </c>
      <c r="M147" s="1" t="e">
        <f>IF(AND(Table1[[#This Row],[Frequency (GHz)]]&gt;=20,Table1[[#This Row],[Frequency (GHz)]]&lt;50),Plot_Data_Power!F147,#N/A)</f>
        <v>#N/A</v>
      </c>
      <c r="N147" s="1" t="e">
        <f>IF(AND(Table1[[#This Row],[Frequency (GHz)]]&gt;=50,Table1[[#This Row],[Frequency (GHz)]]&lt;75),Plot_Data_Power!F147,#N/A)</f>
        <v>#N/A</v>
      </c>
      <c r="O147" s="1" t="e">
        <f>IF(AND(Table1[[#This Row],[Frequency (GHz)]]&gt;=75,Table1[[#This Row],[Frequency (GHz)]]&lt;110),Plot_Data_Power!F147,#N/A)</f>
        <v>#N/A</v>
      </c>
      <c r="P147" s="1" t="e">
        <f>IF(AND(Table1[[#This Row],[Frequency (GHz)]]&gt;=110,Table1[[#This Row],[Frequency (GHz)]]&lt;170),Plot_Data_Power!F147,#N/A)</f>
        <v>#N/A</v>
      </c>
      <c r="Q147" s="1" t="e">
        <f>IF(AND(Table1[[#This Row],[Frequency (GHz)]]&gt;=170,Table1[[#This Row],[Frequency (GHz)]]&lt;260),Plot_Data_Power!F147,#N/A)</f>
        <v>#N/A</v>
      </c>
      <c r="R147" s="1" t="e">
        <f>IF(Table1[[#This Row],[Frequency (GHz)]]&gt;=260,Plot_Data_Power!F147,#N/A)</f>
        <v>#N/A</v>
      </c>
      <c r="U147" s="1" t="e">
        <f>IF(Table1[[#This Row],[Frequency (GHz)]]&lt;20,Plot_Data_Power!G147,#N/A)</f>
        <v>#N/A</v>
      </c>
      <c r="V147" s="1" t="e">
        <f>IF(AND(Table1[[#This Row],[Frequency (GHz)]]&gt;=20,Table1[[#This Row],[Frequency (GHz)]]&lt;50),Plot_Data_Power!G147,#N/A)</f>
        <v>#N/A</v>
      </c>
      <c r="W147" s="1" t="e">
        <f>IF(AND(Table1[[#This Row],[Frequency (GHz)]]&gt;=50,Table1[[#This Row],[Frequency (GHz)]]&lt;75),Plot_Data_Power!G147,#N/A)</f>
        <v>#N/A</v>
      </c>
      <c r="X147" s="1" t="e">
        <f>IF(AND(Table1[[#This Row],[Frequency (GHz)]]&gt;=75,Table1[[#This Row],[Frequency (GHz)]]&lt;110),Plot_Data_Power!G147,#N/A)</f>
        <v>#N/A</v>
      </c>
      <c r="Y147" s="1" t="e">
        <f>IF(AND(Table1[[#This Row],[Frequency (GHz)]]&gt;=110,Table1[[#This Row],[Frequency (GHz)]]&lt;170),Plot_Data_Power!G147,#N/A)</f>
        <v>#N/A</v>
      </c>
      <c r="Z147" s="1" t="e">
        <f>IF(AND(Table1[[#This Row],[Frequency (GHz)]]&gt;=170,Table1[[#This Row],[Frequency (GHz)]]&lt;260),Plot_Data_Power!G147,#N/A)</f>
        <v>#N/A</v>
      </c>
      <c r="AA147" s="1" t="e">
        <f>IF(Table1[[#This Row],[Frequency (GHz)]]&gt;=260,Plot_Data_Power!G147,#N/A)</f>
        <v>#N/A</v>
      </c>
      <c r="AD147" s="1" t="e">
        <f>IF(ISNUMBER(Table1[[#This Row],[Max Package Thermal Density (W/cm2)]]),Table1[[#This Row],[Max Package Thermal Density (W/cm2)]],#N/A)</f>
        <v>#N/A</v>
      </c>
      <c r="AE147" s="1" t="e">
        <f>IF(AND(ISNUMBER((Table1[[#This Row],[Max Package Thermal Density (W/cm2)]])),Table1[[#This Row],[Frequency (GHz)]]&lt;20),Table1[[#This Row],[Max Package Thermal Density (W/cm2)]],#N/A)</f>
        <v>#N/A</v>
      </c>
      <c r="AF147" s="1" t="e">
        <f>IF(AND(ISNUMBER(Table1[[#This Row],[Max Package Thermal Density (W/cm2)]]),Table1[[#This Row],[Frequency (GHz)]]&gt;=20,Table1[[#This Row],[Frequency (GHz)]]&lt;50),Table1[[#This Row],[Max Package Thermal Density (W/cm2)]],#N/A)</f>
        <v>#N/A</v>
      </c>
      <c r="AG147" s="1" t="e">
        <f>IF(AND(ISNUMBER(Table1[[#This Row],[Max Package Thermal Density (W/cm2)]]),Table1[[#This Row],[Frequency (GHz)]]&gt;=50,Table1[[#This Row],[Frequency (GHz)]]&lt;75),Table1[[#This Row],[Max Package Thermal Density (W/cm2)]],#N/A)</f>
        <v>#N/A</v>
      </c>
      <c r="AH147" s="1" t="e">
        <f>IF(AND(ISNUMBER(Table1[[#This Row],[Max Package Thermal Density (W/cm2)]]),Table1[[#This Row],[Frequency (GHz)]]&gt;=75,Table1[[#This Row],[Frequency (GHz)]]&lt;110),Table1[[#This Row],[Max Package Thermal Density (W/cm2)]],#N/A)</f>
        <v>#N/A</v>
      </c>
      <c r="AI147" s="1" t="e">
        <f>IF(AND(ISNUMBER(Table1[[#This Row],[Max Package Thermal Density (W/cm2)]]),Table1[[#This Row],[Frequency (GHz)]]&gt;=110,Table1[[#This Row],[Frequency (GHz)]]&lt;170),Table1[[#This Row],[Max Package Thermal Density (W/cm2)]],#N/A)</f>
        <v>#N/A</v>
      </c>
      <c r="AJ147" s="1" t="e">
        <f>IF(AND(ISNUMBER(Table1[[#This Row],[Max Package Thermal Density (W/cm2)]]),Table1[[#This Row],[Frequency (GHz)]]&gt;=170,Table1[[#This Row],[Frequency (GHz)]]&lt;260),Table1[[#This Row],[Max Package Thermal Density (W/cm2)]],#N/A)</f>
        <v>#N/A</v>
      </c>
      <c r="AK147" s="1" t="e">
        <f>IF(AND(ISNUMBER(Table1[[#This Row],[Max Package Thermal Density (W/cm2)]]),Table1[[#This Row],[Frequency (GHz)]]&gt;=260),Table1[[#This Row],[Max Package Thermal Density (W/cm2)]],#N/A)</f>
        <v>#N/A</v>
      </c>
      <c r="AN147" s="1">
        <f>IF(ISNUMBER(Table1[[#This Row],[Max Chip Thermal Density (W/cm2)]]),Table1[[#This Row],[Max Chip Thermal Density (W/cm2)]],#N/A)</f>
        <v>3.7043714861741703</v>
      </c>
      <c r="AO147" s="1" t="e">
        <f>IF(AND(ISNUMBER((Table1[[#This Row],[Max Chip Thermal Density (W/cm2)]])),Table1[[#This Row],[Frequency (GHz)]]&lt;20),Table1[[#This Row],[Max Chip Thermal Density (W/cm2)]],#N/A)</f>
        <v>#N/A</v>
      </c>
      <c r="AP147" s="1">
        <f>IF(AND(ISNUMBER(Table1[[#This Row],[Max Chip Thermal Density (W/cm2)]]),Table1[[#This Row],[Frequency (GHz)]]&gt;=20,Table1[[#This Row],[Frequency (GHz)]]&lt;50),Table1[[#This Row],[Max Chip Thermal Density (W/cm2)]],#N/A)</f>
        <v>3.7043714861741703</v>
      </c>
      <c r="AQ147" s="1" t="e">
        <f>IF(AND(ISNUMBER(Table1[[#This Row],[Max Chip Thermal Density (W/cm2)]]),Table1[[#This Row],[Frequency (GHz)]]&gt;=50,Table1[[#This Row],[Frequency (GHz)]]&lt;75),Table1[[#This Row],[Max Chip Thermal Density (W/cm2)]],#N/A)</f>
        <v>#N/A</v>
      </c>
      <c r="AR147" s="1" t="e">
        <f>IF(AND(ISNUMBER(Table1[[#This Row],[Max Chip Thermal Density (W/cm2)]]),Table1[[#This Row],[Frequency (GHz)]]&gt;=75,Table1[[#This Row],[Frequency (GHz)]]&lt;110),Table1[[#This Row],[Max Chip Thermal Density (W/cm2)]],#N/A)</f>
        <v>#N/A</v>
      </c>
      <c r="AS147" s="1" t="e">
        <f>IF(AND(ISNUMBER(Table1[[#This Row],[Max Chip Thermal Density (W/cm2)]]),Table1[[#This Row],[Frequency (GHz)]]&gt;=110,Table1[[#This Row],[Frequency (GHz)]]&lt;170),Table1[[#This Row],[Max Chip Thermal Density (W/cm2)]],#N/A)</f>
        <v>#N/A</v>
      </c>
      <c r="AT147" s="1" t="e">
        <f>IF(AND(ISNUMBER(Table1[[#This Row],[Max Chip Thermal Density (W/cm2)]]),Table1[[#This Row],[Frequency (GHz)]]&gt;=170,Table1[[#This Row],[Frequency (GHz)]]&lt;260),Table1[[#This Row],[Max Chip Thermal Density (W/cm2)]],#N/A)</f>
        <v>#N/A</v>
      </c>
      <c r="AU147" s="1" t="e">
        <f>IF(AND(ISNUMBER(Table1[[#This Row],[Max Chip Thermal Density (W/cm2)]]),Table1[[#This Row],[Frequency (GHz)]]&gt;=260),Table1[[#This Row],[Max Chip Thermal Density (W/cm2)]],#N/A)</f>
        <v>#N/A</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08F13-9C29-4E03-AEED-52770BC533CD}">
  <dimension ref="A1:M188"/>
  <sheetViews>
    <sheetView topLeftCell="A7" workbookViewId="0">
      <selection activeCell="S42" sqref="S42"/>
    </sheetView>
  </sheetViews>
  <sheetFormatPr baseColWidth="10" defaultColWidth="8.83203125" defaultRowHeight="15" x14ac:dyDescent="0.2"/>
  <cols>
    <col min="1" max="1" width="28.83203125" bestFit="1" customWidth="1"/>
    <col min="2" max="4" width="5.5" bestFit="1" customWidth="1"/>
    <col min="5" max="5" width="9.1640625" bestFit="1" customWidth="1"/>
    <col min="6" max="6" width="5.6640625" bestFit="1" customWidth="1"/>
    <col min="8" max="8" width="43.33203125" bestFit="1" customWidth="1"/>
  </cols>
  <sheetData>
    <row r="1" spans="1:13" x14ac:dyDescent="0.2">
      <c r="A1" s="1" t="s">
        <v>300</v>
      </c>
      <c r="B1" s="1" t="s">
        <v>41</v>
      </c>
      <c r="C1" s="1" t="s">
        <v>33</v>
      </c>
      <c r="D1" s="1" t="s">
        <v>35</v>
      </c>
      <c r="E1" s="1" t="s">
        <v>26</v>
      </c>
      <c r="F1" s="1" t="s">
        <v>151</v>
      </c>
      <c r="H1" t="s">
        <v>301</v>
      </c>
      <c r="I1" s="1" t="s">
        <v>41</v>
      </c>
      <c r="J1" s="1" t="s">
        <v>33</v>
      </c>
      <c r="K1" s="1" t="s">
        <v>35</v>
      </c>
      <c r="L1" s="1" t="s">
        <v>26</v>
      </c>
      <c r="M1" s="1" t="s">
        <v>151</v>
      </c>
    </row>
    <row r="2" spans="1:13" x14ac:dyDescent="0.2">
      <c r="A2" s="1">
        <f>IF(OR(Table1[[#This Row],['# of TX Element per IC]]&lt;&gt;"",Table1[[#This Row],['# of RX Element per IC]]&lt;&gt;""),Table1[[#This Row],['# of TX Element per IC]]+Table1[[#This Row],['# of RX Element per IC]],#N/A)</f>
        <v>16</v>
      </c>
      <c r="B2" s="1">
        <f>IF(OR(Table1[[#This Row],[Type (TX, RX, TRX, Oscillator)]]="TX", Table1[[#This Row],[Type (TX, RX, TRX, Oscillator)]]="TX FE"),A2,#N/A)</f>
        <v>16</v>
      </c>
      <c r="C2" s="1" t="e">
        <f>IF(OR(Table1[[#This Row],[Type (TX, RX, TRX, Oscillator)]]="RX", Table1[[#This Row],[Type (TX, RX, TRX, Oscillator)]]="RX FE"),A2,#N/A)</f>
        <v>#N/A</v>
      </c>
      <c r="D2" s="1" t="e">
        <f>IF(OR(Table1[[#This Row],[Type (TX, RX, TRX, Oscillator)]]="TRX",Table1[[#This Row],[Type (TX, RX, TRX, Oscillator)]]="TRX FE"),A2,#N/A)</f>
        <v>#N/A</v>
      </c>
      <c r="E2" s="1" t="e">
        <f>IF(Table1[[#This Row],[Type (TX, RX, TRX, Oscillator)]]="Oscillator",A2,#N/A)</f>
        <v>#N/A</v>
      </c>
      <c r="F2" s="1" t="e">
        <f>IF(Table1[[#This Row],[Type (TX, RX, TRX, Oscillator)]]="Relay",A2,#N/A)</f>
        <v>#N/A</v>
      </c>
      <c r="H2" s="1">
        <f>IF(Table1[[#This Row],[Process (CMOS_Bulk, CMOS_SOI, CMOS_FinFET, SiGe)]]&lt;&gt;"",Table1[[#This Row],[TX '# of Polarization]]+Table1[[#This Row],[RX '# of Polarization]],#N/A)</f>
        <v>1</v>
      </c>
      <c r="I2" s="1">
        <f>IF(OR(Table1[[#This Row],[Type (TX, RX, TRX, Oscillator)]]="TX", Table1[[#This Row],[Type (TX, RX, TRX, Oscillator)]]="TX FE"),H2,#N/A)</f>
        <v>1</v>
      </c>
      <c r="J2" s="1" t="e">
        <f>IF(OR(Table1[[#This Row],[Type (TX, RX, TRX, Oscillator)]]="RX", Table1[[#This Row],[Type (TX, RX, TRX, Oscillator)]]="RX FE"),H2,#N/A)</f>
        <v>#N/A</v>
      </c>
      <c r="K2" s="1" t="e">
        <f>IF(OR(Table1[[#This Row],[Type (TX, RX, TRX, Oscillator)]]="TRX",Table1[[#This Row],[Type (TX, RX, TRX, Oscillator)]]="TRX FE"),H2,#N/A)</f>
        <v>#N/A</v>
      </c>
      <c r="L2" s="1" t="e">
        <f>IF(Table1[[#This Row],[Type (TX, RX, TRX, Oscillator)]]="Oscillator",H2,#N/A)</f>
        <v>#N/A</v>
      </c>
      <c r="M2" s="1" t="e">
        <f>IF(Table1[[#This Row],[Type (TX, RX, TRX, Oscillator)]]="Relay",H2,#N/A)</f>
        <v>#N/A</v>
      </c>
    </row>
    <row r="3" spans="1:13" x14ac:dyDescent="0.2">
      <c r="A3" s="1">
        <f>IF(OR(Table1[[#This Row],['# of TX Element per IC]]&lt;&gt;"",Table1[[#This Row],['# of RX Element per IC]]&lt;&gt;""),Table1[[#This Row],['# of TX Element per IC]]+Table1[[#This Row],['# of RX Element per IC]],#N/A)</f>
        <v>36</v>
      </c>
      <c r="B3" s="1" t="e">
        <f>IF(OR(Table1[[#This Row],[Type (TX, RX, TRX, Oscillator)]]="TX", Table1[[#This Row],[Type (TX, RX, TRX, Oscillator)]]="TX FE"),A3,#N/A)</f>
        <v>#N/A</v>
      </c>
      <c r="C3" s="1" t="e">
        <f>IF(OR(Table1[[#This Row],[Type (TX, RX, TRX, Oscillator)]]="RX", Table1[[#This Row],[Type (TX, RX, TRX, Oscillator)]]="RX FE"),A3,#N/A)</f>
        <v>#N/A</v>
      </c>
      <c r="D3" s="1">
        <f>IF(OR(Table1[[#This Row],[Type (TX, RX, TRX, Oscillator)]]="TRX",Table1[[#This Row],[Type (TX, RX, TRX, Oscillator)]]="TRX FE"),A3,#N/A)</f>
        <v>36</v>
      </c>
      <c r="E3" s="1" t="e">
        <f>IF(Table1[[#This Row],[Type (TX, RX, TRX, Oscillator)]]="Oscillator",A3,#N/A)</f>
        <v>#N/A</v>
      </c>
      <c r="F3" s="1" t="e">
        <f>IF(Table1[[#This Row],[Type (TX, RX, TRX, Oscillator)]]="Relay",A3,#N/A)</f>
        <v>#N/A</v>
      </c>
      <c r="H3" s="1">
        <f>IF(Table1[[#This Row],[Process (CMOS_Bulk, CMOS_SOI, CMOS_FinFET, SiGe)]]&lt;&gt;"",Table1[[#This Row],[TX '# of Polarization]]+Table1[[#This Row],[RX '# of Polarization]],#N/A)</f>
        <v>2</v>
      </c>
      <c r="I3" s="1" t="e">
        <f>IF(OR(Table1[[#This Row],[Type (TX, RX, TRX, Oscillator)]]="TX", Table1[[#This Row],[Type (TX, RX, TRX, Oscillator)]]="TX FE"),H3,#N/A)</f>
        <v>#N/A</v>
      </c>
      <c r="J3" s="1" t="e">
        <f>IF(OR(Table1[[#This Row],[Type (TX, RX, TRX, Oscillator)]]="RX", Table1[[#This Row],[Type (TX, RX, TRX, Oscillator)]]="RX FE"),H3,#N/A)</f>
        <v>#N/A</v>
      </c>
      <c r="K3" s="1">
        <f>IF(OR(Table1[[#This Row],[Type (TX, RX, TRX, Oscillator)]]="TRX",Table1[[#This Row],[Type (TX, RX, TRX, Oscillator)]]="TRX FE"),H3,#N/A)</f>
        <v>2</v>
      </c>
      <c r="L3" s="1" t="e">
        <f>IF(Table1[[#This Row],[Type (TX, RX, TRX, Oscillator)]]="Oscillator",H3,#N/A)</f>
        <v>#N/A</v>
      </c>
      <c r="M3" s="1" t="e">
        <f>IF(Table1[[#This Row],[Type (TX, RX, TRX, Oscillator)]]="Relay",H3,#N/A)</f>
        <v>#N/A</v>
      </c>
    </row>
    <row r="4" spans="1:13" x14ac:dyDescent="0.2">
      <c r="A4" s="1">
        <f>IF(OR(Table1[[#This Row],['# of TX Element per IC]]&lt;&gt;"",Table1[[#This Row],['# of RX Element per IC]]&lt;&gt;""),Table1[[#This Row],['# of TX Element per IC]]+Table1[[#This Row],['# of RX Element per IC]],#N/A)</f>
        <v>40</v>
      </c>
      <c r="B4" s="1" t="e">
        <f>IF(OR(Table1[[#This Row],[Type (TX, RX, TRX, Oscillator)]]="TX", Table1[[#This Row],[Type (TX, RX, TRX, Oscillator)]]="TX FE"),A4,#N/A)</f>
        <v>#N/A</v>
      </c>
      <c r="C4" s="1" t="e">
        <f>IF(OR(Table1[[#This Row],[Type (TX, RX, TRX, Oscillator)]]="RX", Table1[[#This Row],[Type (TX, RX, TRX, Oscillator)]]="RX FE"),A4,#N/A)</f>
        <v>#N/A</v>
      </c>
      <c r="D4" s="1">
        <f>IF(OR(Table1[[#This Row],[Type (TX, RX, TRX, Oscillator)]]="TRX",Table1[[#This Row],[Type (TX, RX, TRX, Oscillator)]]="TRX FE"),A4,#N/A)</f>
        <v>40</v>
      </c>
      <c r="E4" s="1" t="e">
        <f>IF(Table1[[#This Row],[Type (TX, RX, TRX, Oscillator)]]="Oscillator",A4,#N/A)</f>
        <v>#N/A</v>
      </c>
      <c r="F4" s="1" t="e">
        <f>IF(Table1[[#This Row],[Type (TX, RX, TRX, Oscillator)]]="Relay",A4,#N/A)</f>
        <v>#N/A</v>
      </c>
      <c r="H4" s="1">
        <f>IF(Table1[[#This Row],[Process (CMOS_Bulk, CMOS_SOI, CMOS_FinFET, SiGe)]]&lt;&gt;"",Table1[[#This Row],[TX '# of Polarization]]+Table1[[#This Row],[RX '# of Polarization]],#N/A)</f>
        <v>2</v>
      </c>
      <c r="I4" s="1" t="e">
        <f>IF(OR(Table1[[#This Row],[Type (TX, RX, TRX, Oscillator)]]="TX", Table1[[#This Row],[Type (TX, RX, TRX, Oscillator)]]="TX FE"),H4,#N/A)</f>
        <v>#N/A</v>
      </c>
      <c r="J4" s="1" t="e">
        <f>IF(OR(Table1[[#This Row],[Type (TX, RX, TRX, Oscillator)]]="RX", Table1[[#This Row],[Type (TX, RX, TRX, Oscillator)]]="RX FE"),H4,#N/A)</f>
        <v>#N/A</v>
      </c>
      <c r="K4" s="1">
        <f>IF(OR(Table1[[#This Row],[Type (TX, RX, TRX, Oscillator)]]="TRX",Table1[[#This Row],[Type (TX, RX, TRX, Oscillator)]]="TRX FE"),H4,#N/A)</f>
        <v>2</v>
      </c>
      <c r="L4" s="1" t="e">
        <f>IF(Table1[[#This Row],[Type (TX, RX, TRX, Oscillator)]]="Oscillator",H4,#N/A)</f>
        <v>#N/A</v>
      </c>
      <c r="M4" s="1" t="e">
        <f>IF(Table1[[#This Row],[Type (TX, RX, TRX, Oscillator)]]="Relay",H4,#N/A)</f>
        <v>#N/A</v>
      </c>
    </row>
    <row r="5" spans="1:13" x14ac:dyDescent="0.2">
      <c r="A5" s="1">
        <f>IF(OR(Table1[[#This Row],['# of TX Element per IC]]&lt;&gt;"",Table1[[#This Row],['# of RX Element per IC]]&lt;&gt;""),Table1[[#This Row],['# of TX Element per IC]]+Table1[[#This Row],['# of RX Element per IC]],#N/A)</f>
        <v>16</v>
      </c>
      <c r="B5" s="1" t="e">
        <f>IF(OR(Table1[[#This Row],[Type (TX, RX, TRX, Oscillator)]]="TX", Table1[[#This Row],[Type (TX, RX, TRX, Oscillator)]]="TX FE"),A5,#N/A)</f>
        <v>#N/A</v>
      </c>
      <c r="C5" s="1">
        <f>IF(OR(Table1[[#This Row],[Type (TX, RX, TRX, Oscillator)]]="RX", Table1[[#This Row],[Type (TX, RX, TRX, Oscillator)]]="RX FE"),A5,#N/A)</f>
        <v>16</v>
      </c>
      <c r="D5" s="1" t="e">
        <f>IF(OR(Table1[[#This Row],[Type (TX, RX, TRX, Oscillator)]]="TRX",Table1[[#This Row],[Type (TX, RX, TRX, Oscillator)]]="TRX FE"),A5,#N/A)</f>
        <v>#N/A</v>
      </c>
      <c r="E5" s="1" t="e">
        <f>IF(Table1[[#This Row],[Type (TX, RX, TRX, Oscillator)]]="Oscillator",A5,#N/A)</f>
        <v>#N/A</v>
      </c>
      <c r="F5" s="1" t="e">
        <f>IF(Table1[[#This Row],[Type (TX, RX, TRX, Oscillator)]]="Relay",A5,#N/A)</f>
        <v>#N/A</v>
      </c>
      <c r="H5" s="1">
        <f>IF(Table1[[#This Row],[Process (CMOS_Bulk, CMOS_SOI, CMOS_FinFET, SiGe)]]&lt;&gt;"",Table1[[#This Row],[TX '# of Polarization]]+Table1[[#This Row],[RX '# of Polarization]],#N/A)</f>
        <v>1</v>
      </c>
      <c r="I5" s="1" t="e">
        <f>IF(OR(Table1[[#This Row],[Type (TX, RX, TRX, Oscillator)]]="TX", Table1[[#This Row],[Type (TX, RX, TRX, Oscillator)]]="TX FE"),H5,#N/A)</f>
        <v>#N/A</v>
      </c>
      <c r="J5" s="1">
        <f>IF(OR(Table1[[#This Row],[Type (TX, RX, TRX, Oscillator)]]="RX", Table1[[#This Row],[Type (TX, RX, TRX, Oscillator)]]="RX FE"),H5,#N/A)</f>
        <v>1</v>
      </c>
      <c r="K5" s="1" t="e">
        <f>IF(OR(Table1[[#This Row],[Type (TX, RX, TRX, Oscillator)]]="TRX",Table1[[#This Row],[Type (TX, RX, TRX, Oscillator)]]="TRX FE"),H5,#N/A)</f>
        <v>#N/A</v>
      </c>
      <c r="L5" s="1" t="e">
        <f>IF(Table1[[#This Row],[Type (TX, RX, TRX, Oscillator)]]="Oscillator",H5,#N/A)</f>
        <v>#N/A</v>
      </c>
      <c r="M5" s="1" t="e">
        <f>IF(Table1[[#This Row],[Type (TX, RX, TRX, Oscillator)]]="Relay",H5,#N/A)</f>
        <v>#N/A</v>
      </c>
    </row>
    <row r="6" spans="1:13" x14ac:dyDescent="0.2">
      <c r="A6" s="1">
        <f>IF(OR(Table1[[#This Row],['# of TX Element per IC]]&lt;&gt;"",Table1[[#This Row],['# of RX Element per IC]]&lt;&gt;""),Table1[[#This Row],['# of TX Element per IC]]+Table1[[#This Row],['# of RX Element per IC]],#N/A)</f>
        <v>16</v>
      </c>
      <c r="B6" s="1">
        <f>IF(OR(Table1[[#This Row],[Type (TX, RX, TRX, Oscillator)]]="TX", Table1[[#This Row],[Type (TX, RX, TRX, Oscillator)]]="TX FE"),A6,#N/A)</f>
        <v>16</v>
      </c>
      <c r="C6" s="1" t="e">
        <f>IF(OR(Table1[[#This Row],[Type (TX, RX, TRX, Oscillator)]]="RX", Table1[[#This Row],[Type (TX, RX, TRX, Oscillator)]]="RX FE"),A6,#N/A)</f>
        <v>#N/A</v>
      </c>
      <c r="D6" s="1" t="e">
        <f>IF(OR(Table1[[#This Row],[Type (TX, RX, TRX, Oscillator)]]="TRX",Table1[[#This Row],[Type (TX, RX, TRX, Oscillator)]]="TRX FE"),A6,#N/A)</f>
        <v>#N/A</v>
      </c>
      <c r="E6" s="1" t="e">
        <f>IF(Table1[[#This Row],[Type (TX, RX, TRX, Oscillator)]]="Oscillator",A6,#N/A)</f>
        <v>#N/A</v>
      </c>
      <c r="F6" s="1" t="e">
        <f>IF(Table1[[#This Row],[Type (TX, RX, TRX, Oscillator)]]="Relay",A6,#N/A)</f>
        <v>#N/A</v>
      </c>
      <c r="H6" s="1">
        <f>IF(Table1[[#This Row],[Process (CMOS_Bulk, CMOS_SOI, CMOS_FinFET, SiGe)]]&lt;&gt;"",Table1[[#This Row],[TX '# of Polarization]]+Table1[[#This Row],[RX '# of Polarization]],#N/A)</f>
        <v>1</v>
      </c>
      <c r="I6" s="1">
        <f>IF(OR(Table1[[#This Row],[Type (TX, RX, TRX, Oscillator)]]="TX", Table1[[#This Row],[Type (TX, RX, TRX, Oscillator)]]="TX FE"),H6,#N/A)</f>
        <v>1</v>
      </c>
      <c r="J6" s="1" t="e">
        <f>IF(OR(Table1[[#This Row],[Type (TX, RX, TRX, Oscillator)]]="RX", Table1[[#This Row],[Type (TX, RX, TRX, Oscillator)]]="RX FE"),H6,#N/A)</f>
        <v>#N/A</v>
      </c>
      <c r="K6" s="1" t="e">
        <f>IF(OR(Table1[[#This Row],[Type (TX, RX, TRX, Oscillator)]]="TRX",Table1[[#This Row],[Type (TX, RX, TRX, Oscillator)]]="TRX FE"),H6,#N/A)</f>
        <v>#N/A</v>
      </c>
      <c r="L6" s="1" t="e">
        <f>IF(Table1[[#This Row],[Type (TX, RX, TRX, Oscillator)]]="Oscillator",H6,#N/A)</f>
        <v>#N/A</v>
      </c>
      <c r="M6" s="1" t="e">
        <f>IF(Table1[[#This Row],[Type (TX, RX, TRX, Oscillator)]]="Relay",H6,#N/A)</f>
        <v>#N/A</v>
      </c>
    </row>
    <row r="7" spans="1:13" x14ac:dyDescent="0.2">
      <c r="A7" s="1" t="e">
        <f>IF(OR(Table1[[#This Row],['# of TX Element per IC]]&lt;&gt;"",Table1[[#This Row],['# of RX Element per IC]]&lt;&gt;""),Table1[[#This Row],['# of TX Element per IC]]+Table1[[#This Row],['# of RX Element per IC]],#N/A)</f>
        <v>#N/A</v>
      </c>
      <c r="B7" s="1" t="e">
        <f>IF(OR(Table1[[#This Row],[Type (TX, RX, TRX, Oscillator)]]="TX", Table1[[#This Row],[Type (TX, RX, TRX, Oscillator)]]="TX FE"),A7,#N/A)</f>
        <v>#N/A</v>
      </c>
      <c r="C7" s="1" t="e">
        <f>IF(OR(Table1[[#This Row],[Type (TX, RX, TRX, Oscillator)]]="RX", Table1[[#This Row],[Type (TX, RX, TRX, Oscillator)]]="RX FE"),A7,#N/A)</f>
        <v>#N/A</v>
      </c>
      <c r="D7" s="1" t="e">
        <f>IF(OR(Table1[[#This Row],[Type (TX, RX, TRX, Oscillator)]]="TRX",Table1[[#This Row],[Type (TX, RX, TRX, Oscillator)]]="TRX FE"),A7,#N/A)</f>
        <v>#N/A</v>
      </c>
      <c r="E7" s="1" t="e">
        <f>IF(Table1[[#This Row],[Type (TX, RX, TRX, Oscillator)]]="Oscillator",A7,#N/A)</f>
        <v>#N/A</v>
      </c>
      <c r="F7" s="1" t="e">
        <f>IF(Table1[[#This Row],[Type (TX, RX, TRX, Oscillator)]]="Relay",A7,#N/A)</f>
        <v>#N/A</v>
      </c>
      <c r="H7" s="1" t="e">
        <f>IF(Table1[[#This Row],[Process (CMOS_Bulk, CMOS_SOI, CMOS_FinFET, SiGe)]]&lt;&gt;"",Table1[[#This Row],[TX '# of Polarization]]+Table1[[#This Row],[RX '# of Polarization]],#N/A)</f>
        <v>#N/A</v>
      </c>
      <c r="I7" s="1" t="e">
        <f>IF(OR(Table1[[#This Row],[Type (TX, RX, TRX, Oscillator)]]="TX", Table1[[#This Row],[Type (TX, RX, TRX, Oscillator)]]="TX FE"),H7,#N/A)</f>
        <v>#N/A</v>
      </c>
      <c r="J7" s="1" t="e">
        <f>IF(OR(Table1[[#This Row],[Type (TX, RX, TRX, Oscillator)]]="RX", Table1[[#This Row],[Type (TX, RX, TRX, Oscillator)]]="RX FE"),H7,#N/A)</f>
        <v>#N/A</v>
      </c>
      <c r="K7" s="1" t="e">
        <f>IF(OR(Table1[[#This Row],[Type (TX, RX, TRX, Oscillator)]]="TRX",Table1[[#This Row],[Type (TX, RX, TRX, Oscillator)]]="TRX FE"),H7,#N/A)</f>
        <v>#N/A</v>
      </c>
      <c r="L7" s="1" t="e">
        <f>IF(Table1[[#This Row],[Type (TX, RX, TRX, Oscillator)]]="Oscillator",H7,#N/A)</f>
        <v>#N/A</v>
      </c>
      <c r="M7" s="1" t="e">
        <f>IF(Table1[[#This Row],[Type (TX, RX, TRX, Oscillator)]]="Relay",H7,#N/A)</f>
        <v>#N/A</v>
      </c>
    </row>
    <row r="8" spans="1:13" x14ac:dyDescent="0.2">
      <c r="A8" s="1" t="e">
        <f>IF(OR(Table1[[#This Row],['# of TX Element per IC]]&lt;&gt;"",Table1[[#This Row],['# of RX Element per IC]]&lt;&gt;""),Table1[[#This Row],['# of TX Element per IC]]+Table1[[#This Row],['# of RX Element per IC]],#N/A)</f>
        <v>#N/A</v>
      </c>
      <c r="B8" s="1" t="e">
        <f>IF(OR(Table1[[#This Row],[Type (TX, RX, TRX, Oscillator)]]="TX", Table1[[#This Row],[Type (TX, RX, TRX, Oscillator)]]="TX FE"),A8,#N/A)</f>
        <v>#N/A</v>
      </c>
      <c r="C8" s="1" t="e">
        <f>IF(OR(Table1[[#This Row],[Type (TX, RX, TRX, Oscillator)]]="RX", Table1[[#This Row],[Type (TX, RX, TRX, Oscillator)]]="RX FE"),A8,#N/A)</f>
        <v>#N/A</v>
      </c>
      <c r="D8" s="1" t="e">
        <f>IF(OR(Table1[[#This Row],[Type (TX, RX, TRX, Oscillator)]]="TRX",Table1[[#This Row],[Type (TX, RX, TRX, Oscillator)]]="TRX FE"),A8,#N/A)</f>
        <v>#N/A</v>
      </c>
      <c r="E8" s="1" t="e">
        <f>IF(Table1[[#This Row],[Type (TX, RX, TRX, Oscillator)]]="Oscillator",A8,#N/A)</f>
        <v>#N/A</v>
      </c>
      <c r="F8" s="1" t="e">
        <f>IF(Table1[[#This Row],[Type (TX, RX, TRX, Oscillator)]]="Relay",A8,#N/A)</f>
        <v>#N/A</v>
      </c>
      <c r="H8" s="1" t="e">
        <f>IF(Table1[[#This Row],[Process (CMOS_Bulk, CMOS_SOI, CMOS_FinFET, SiGe)]]&lt;&gt;"",Table1[[#This Row],[TX '# of Polarization]]+Table1[[#This Row],[RX '# of Polarization]],#N/A)</f>
        <v>#N/A</v>
      </c>
      <c r="I8" s="1" t="e">
        <f>IF(OR(Table1[[#This Row],[Type (TX, RX, TRX, Oscillator)]]="TX", Table1[[#This Row],[Type (TX, RX, TRX, Oscillator)]]="TX FE"),H8,#N/A)</f>
        <v>#N/A</v>
      </c>
      <c r="J8" s="1" t="e">
        <f>IF(OR(Table1[[#This Row],[Type (TX, RX, TRX, Oscillator)]]="RX", Table1[[#This Row],[Type (TX, RX, TRX, Oscillator)]]="RX FE"),H8,#N/A)</f>
        <v>#N/A</v>
      </c>
      <c r="K8" s="1" t="e">
        <f>IF(OR(Table1[[#This Row],[Type (TX, RX, TRX, Oscillator)]]="TRX",Table1[[#This Row],[Type (TX, RX, TRX, Oscillator)]]="TRX FE"),H8,#N/A)</f>
        <v>#N/A</v>
      </c>
      <c r="L8" s="1" t="e">
        <f>IF(Table1[[#This Row],[Type (TX, RX, TRX, Oscillator)]]="Oscillator",H8,#N/A)</f>
        <v>#N/A</v>
      </c>
      <c r="M8" s="1" t="e">
        <f>IF(Table1[[#This Row],[Type (TX, RX, TRX, Oscillator)]]="Relay",H8,#N/A)</f>
        <v>#N/A</v>
      </c>
    </row>
    <row r="9" spans="1:13" x14ac:dyDescent="0.2">
      <c r="A9" s="1" t="e">
        <f>IF(OR(Table1[[#This Row],['# of TX Element per IC]]&lt;&gt;"",Table1[[#This Row],['# of RX Element per IC]]&lt;&gt;""),Table1[[#This Row],['# of TX Element per IC]]+Table1[[#This Row],['# of RX Element per IC]],#N/A)</f>
        <v>#N/A</v>
      </c>
      <c r="B9" s="1" t="e">
        <f>IF(OR(Table1[[#This Row],[Type (TX, RX, TRX, Oscillator)]]="TX", Table1[[#This Row],[Type (TX, RX, TRX, Oscillator)]]="TX FE"),A9,#N/A)</f>
        <v>#N/A</v>
      </c>
      <c r="C9" s="1" t="e">
        <f>IF(OR(Table1[[#This Row],[Type (TX, RX, TRX, Oscillator)]]="RX", Table1[[#This Row],[Type (TX, RX, TRX, Oscillator)]]="RX FE"),A9,#N/A)</f>
        <v>#N/A</v>
      </c>
      <c r="D9" s="1" t="e">
        <f>IF(OR(Table1[[#This Row],[Type (TX, RX, TRX, Oscillator)]]="TRX",Table1[[#This Row],[Type (TX, RX, TRX, Oscillator)]]="TRX FE"),A9,#N/A)</f>
        <v>#N/A</v>
      </c>
      <c r="E9" s="1" t="e">
        <f>IF(Table1[[#This Row],[Type (TX, RX, TRX, Oscillator)]]="Oscillator",A9,#N/A)</f>
        <v>#N/A</v>
      </c>
      <c r="F9" s="1" t="e">
        <f>IF(Table1[[#This Row],[Type (TX, RX, TRX, Oscillator)]]="Relay",A9,#N/A)</f>
        <v>#N/A</v>
      </c>
      <c r="H9" s="1" t="e">
        <f>IF(Table1[[#This Row],[Process (CMOS_Bulk, CMOS_SOI, CMOS_FinFET, SiGe)]]&lt;&gt;"",Table1[[#This Row],[TX '# of Polarization]]+Table1[[#This Row],[RX '# of Polarization]],#N/A)</f>
        <v>#N/A</v>
      </c>
      <c r="I9" s="1" t="e">
        <f>IF(OR(Table1[[#This Row],[Type (TX, RX, TRX, Oscillator)]]="TX", Table1[[#This Row],[Type (TX, RX, TRX, Oscillator)]]="TX FE"),H9,#N/A)</f>
        <v>#N/A</v>
      </c>
      <c r="J9" s="1" t="e">
        <f>IF(OR(Table1[[#This Row],[Type (TX, RX, TRX, Oscillator)]]="RX", Table1[[#This Row],[Type (TX, RX, TRX, Oscillator)]]="RX FE"),H9,#N/A)</f>
        <v>#N/A</v>
      </c>
      <c r="K9" s="1" t="e">
        <f>IF(OR(Table1[[#This Row],[Type (TX, RX, TRX, Oscillator)]]="TRX",Table1[[#This Row],[Type (TX, RX, TRX, Oscillator)]]="TRX FE"),H9,#N/A)</f>
        <v>#N/A</v>
      </c>
      <c r="L9" s="1" t="e">
        <f>IF(Table1[[#This Row],[Type (TX, RX, TRX, Oscillator)]]="Oscillator",H9,#N/A)</f>
        <v>#N/A</v>
      </c>
      <c r="M9" s="1" t="e">
        <f>IF(Table1[[#This Row],[Type (TX, RX, TRX, Oscillator)]]="Relay",H9,#N/A)</f>
        <v>#N/A</v>
      </c>
    </row>
    <row r="10" spans="1:13" x14ac:dyDescent="0.2">
      <c r="A10" s="1">
        <f>IF(OR(Table1[[#This Row],['# of TX Element per IC]]&lt;&gt;"",Table1[[#This Row],['# of RX Element per IC]]&lt;&gt;""),Table1[[#This Row],['# of TX Element per IC]]+Table1[[#This Row],['# of RX Element per IC]],#N/A)</f>
        <v>64</v>
      </c>
      <c r="B10" s="1" t="e">
        <f>IF(OR(Table1[[#This Row],[Type (TX, RX, TRX, Oscillator)]]="TX", Table1[[#This Row],[Type (TX, RX, TRX, Oscillator)]]="TX FE"),A10,#N/A)</f>
        <v>#N/A</v>
      </c>
      <c r="C10" s="1" t="e">
        <f>IF(OR(Table1[[#This Row],[Type (TX, RX, TRX, Oscillator)]]="RX", Table1[[#This Row],[Type (TX, RX, TRX, Oscillator)]]="RX FE"),A10,#N/A)</f>
        <v>#N/A</v>
      </c>
      <c r="D10" s="1">
        <f>IF(OR(Table1[[#This Row],[Type (TX, RX, TRX, Oscillator)]]="TRX",Table1[[#This Row],[Type (TX, RX, TRX, Oscillator)]]="TRX FE"),A10,#N/A)</f>
        <v>64</v>
      </c>
      <c r="E10" s="1" t="e">
        <f>IF(Table1[[#This Row],[Type (TX, RX, TRX, Oscillator)]]="Oscillator",A10,#N/A)</f>
        <v>#N/A</v>
      </c>
      <c r="F10" s="1" t="e">
        <f>IF(Table1[[#This Row],[Type (TX, RX, TRX, Oscillator)]]="Relay",A10,#N/A)</f>
        <v>#N/A</v>
      </c>
      <c r="H10" s="1">
        <f>IF(Table1[[#This Row],[Process (CMOS_Bulk, CMOS_SOI, CMOS_FinFET, SiGe)]]&lt;&gt;"",Table1[[#This Row],[TX '# of Polarization]]+Table1[[#This Row],[RX '# of Polarization]],#N/A)</f>
        <v>2</v>
      </c>
      <c r="I10" s="1" t="e">
        <f>IF(OR(Table1[[#This Row],[Type (TX, RX, TRX, Oscillator)]]="TX", Table1[[#This Row],[Type (TX, RX, TRX, Oscillator)]]="TX FE"),H10,#N/A)</f>
        <v>#N/A</v>
      </c>
      <c r="J10" s="1" t="e">
        <f>IF(OR(Table1[[#This Row],[Type (TX, RX, TRX, Oscillator)]]="RX", Table1[[#This Row],[Type (TX, RX, TRX, Oscillator)]]="RX FE"),H10,#N/A)</f>
        <v>#N/A</v>
      </c>
      <c r="K10" s="1">
        <f>IF(OR(Table1[[#This Row],[Type (TX, RX, TRX, Oscillator)]]="TRX",Table1[[#This Row],[Type (TX, RX, TRX, Oscillator)]]="TRX FE"),H10,#N/A)</f>
        <v>2</v>
      </c>
      <c r="L10" s="1" t="e">
        <f>IF(Table1[[#This Row],[Type (TX, RX, TRX, Oscillator)]]="Oscillator",H10,#N/A)</f>
        <v>#N/A</v>
      </c>
      <c r="M10" s="1" t="e">
        <f>IF(Table1[[#This Row],[Type (TX, RX, TRX, Oscillator)]]="Relay",H10,#N/A)</f>
        <v>#N/A</v>
      </c>
    </row>
    <row r="11" spans="1:13" x14ac:dyDescent="0.2">
      <c r="A11" s="1">
        <f>IF(OR(Table1[[#This Row],['# of TX Element per IC]]&lt;&gt;"",Table1[[#This Row],['# of RX Element per IC]]&lt;&gt;""),Table1[[#This Row],['# of TX Element per IC]]+Table1[[#This Row],['# of RX Element per IC]],#N/A)</f>
        <v>32</v>
      </c>
      <c r="B11" s="1" t="e">
        <f>IF(OR(Table1[[#This Row],[Type (TX, RX, TRX, Oscillator)]]="TX", Table1[[#This Row],[Type (TX, RX, TRX, Oscillator)]]="TX FE"),A11,#N/A)</f>
        <v>#N/A</v>
      </c>
      <c r="C11" s="1" t="e">
        <f>IF(OR(Table1[[#This Row],[Type (TX, RX, TRX, Oscillator)]]="RX", Table1[[#This Row],[Type (TX, RX, TRX, Oscillator)]]="RX FE"),A11,#N/A)</f>
        <v>#N/A</v>
      </c>
      <c r="D11" s="1">
        <f>IF(OR(Table1[[#This Row],[Type (TX, RX, TRX, Oscillator)]]="TRX",Table1[[#This Row],[Type (TX, RX, TRX, Oscillator)]]="TRX FE"),A11,#N/A)</f>
        <v>32</v>
      </c>
      <c r="E11" s="1" t="e">
        <f>IF(Table1[[#This Row],[Type (TX, RX, TRX, Oscillator)]]="Oscillator",A11,#N/A)</f>
        <v>#N/A</v>
      </c>
      <c r="F11" s="1" t="e">
        <f>IF(Table1[[#This Row],[Type (TX, RX, TRX, Oscillator)]]="Relay",A11,#N/A)</f>
        <v>#N/A</v>
      </c>
      <c r="H11" s="1">
        <f>IF(Table1[[#This Row],[Process (CMOS_Bulk, CMOS_SOI, CMOS_FinFET, SiGe)]]&lt;&gt;"",Table1[[#This Row],[TX '# of Polarization]]+Table1[[#This Row],[RX '# of Polarization]],#N/A)</f>
        <v>4</v>
      </c>
      <c r="I11" s="1" t="e">
        <f>IF(OR(Table1[[#This Row],[Type (TX, RX, TRX, Oscillator)]]="TX", Table1[[#This Row],[Type (TX, RX, TRX, Oscillator)]]="TX FE"),H11,#N/A)</f>
        <v>#N/A</v>
      </c>
      <c r="J11" s="1" t="e">
        <f>IF(OR(Table1[[#This Row],[Type (TX, RX, TRX, Oscillator)]]="RX", Table1[[#This Row],[Type (TX, RX, TRX, Oscillator)]]="RX FE"),H11,#N/A)</f>
        <v>#N/A</v>
      </c>
      <c r="K11" s="1">
        <f>IF(OR(Table1[[#This Row],[Type (TX, RX, TRX, Oscillator)]]="TRX",Table1[[#This Row],[Type (TX, RX, TRX, Oscillator)]]="TRX FE"),H11,#N/A)</f>
        <v>4</v>
      </c>
      <c r="L11" s="1" t="e">
        <f>IF(Table1[[#This Row],[Type (TX, RX, TRX, Oscillator)]]="Oscillator",H11,#N/A)</f>
        <v>#N/A</v>
      </c>
      <c r="M11" s="1" t="e">
        <f>IF(Table1[[#This Row],[Type (TX, RX, TRX, Oscillator)]]="Relay",H11,#N/A)</f>
        <v>#N/A</v>
      </c>
    </row>
    <row r="12" spans="1:13" x14ac:dyDescent="0.2">
      <c r="A12" s="1">
        <f>IF(OR(Table1[[#This Row],['# of TX Element per IC]]&lt;&gt;"",Table1[[#This Row],['# of RX Element per IC]]&lt;&gt;""),Table1[[#This Row],['# of TX Element per IC]]+Table1[[#This Row],['# of RX Element per IC]],#N/A)</f>
        <v>32</v>
      </c>
      <c r="B12" s="1" t="e">
        <f>IF(OR(Table1[[#This Row],[Type (TX, RX, TRX, Oscillator)]]="TX", Table1[[#This Row],[Type (TX, RX, TRX, Oscillator)]]="TX FE"),A12,#N/A)</f>
        <v>#N/A</v>
      </c>
      <c r="C12" s="1" t="e">
        <f>IF(OR(Table1[[#This Row],[Type (TX, RX, TRX, Oscillator)]]="RX", Table1[[#This Row],[Type (TX, RX, TRX, Oscillator)]]="RX FE"),A12,#N/A)</f>
        <v>#N/A</v>
      </c>
      <c r="D12" s="1">
        <f>IF(OR(Table1[[#This Row],[Type (TX, RX, TRX, Oscillator)]]="TRX",Table1[[#This Row],[Type (TX, RX, TRX, Oscillator)]]="TRX FE"),A12,#N/A)</f>
        <v>32</v>
      </c>
      <c r="E12" s="1" t="e">
        <f>IF(Table1[[#This Row],[Type (TX, RX, TRX, Oscillator)]]="Oscillator",A12,#N/A)</f>
        <v>#N/A</v>
      </c>
      <c r="F12" s="1" t="e">
        <f>IF(Table1[[#This Row],[Type (TX, RX, TRX, Oscillator)]]="Relay",A12,#N/A)</f>
        <v>#N/A</v>
      </c>
      <c r="H12" s="1">
        <f>IF(Table1[[#This Row],[Process (CMOS_Bulk, CMOS_SOI, CMOS_FinFET, SiGe)]]&lt;&gt;"",Table1[[#This Row],[TX '# of Polarization]]+Table1[[#This Row],[RX '# of Polarization]],#N/A)</f>
        <v>3</v>
      </c>
      <c r="I12" s="1" t="e">
        <f>IF(OR(Table1[[#This Row],[Type (TX, RX, TRX, Oscillator)]]="TX", Table1[[#This Row],[Type (TX, RX, TRX, Oscillator)]]="TX FE"),H12,#N/A)</f>
        <v>#N/A</v>
      </c>
      <c r="J12" s="1" t="e">
        <f>IF(OR(Table1[[#This Row],[Type (TX, RX, TRX, Oscillator)]]="RX", Table1[[#This Row],[Type (TX, RX, TRX, Oscillator)]]="RX FE"),H12,#N/A)</f>
        <v>#N/A</v>
      </c>
      <c r="K12" s="1">
        <f>IF(OR(Table1[[#This Row],[Type (TX, RX, TRX, Oscillator)]]="TRX",Table1[[#This Row],[Type (TX, RX, TRX, Oscillator)]]="TRX FE"),H12,#N/A)</f>
        <v>3</v>
      </c>
      <c r="L12" s="1" t="e">
        <f>IF(Table1[[#This Row],[Type (TX, RX, TRX, Oscillator)]]="Oscillator",H12,#N/A)</f>
        <v>#N/A</v>
      </c>
      <c r="M12" s="1" t="e">
        <f>IF(Table1[[#This Row],[Type (TX, RX, TRX, Oscillator)]]="Relay",H12,#N/A)</f>
        <v>#N/A</v>
      </c>
    </row>
    <row r="13" spans="1:13" x14ac:dyDescent="0.2">
      <c r="A13" s="1" t="e">
        <f>IF(OR(Table1[[#This Row],['# of TX Element per IC]]&lt;&gt;"",Table1[[#This Row],['# of RX Element per IC]]&lt;&gt;""),Table1[[#This Row],['# of TX Element per IC]]+Table1[[#This Row],['# of RX Element per IC]],#N/A)</f>
        <v>#N/A</v>
      </c>
      <c r="B13" s="1" t="e">
        <f>IF(OR(Table1[[#This Row],[Type (TX, RX, TRX, Oscillator)]]="TX", Table1[[#This Row],[Type (TX, RX, TRX, Oscillator)]]="TX FE"),A13,#N/A)</f>
        <v>#N/A</v>
      </c>
      <c r="C13" s="1" t="e">
        <f>IF(OR(Table1[[#This Row],[Type (TX, RX, TRX, Oscillator)]]="RX", Table1[[#This Row],[Type (TX, RX, TRX, Oscillator)]]="RX FE"),A13,#N/A)</f>
        <v>#N/A</v>
      </c>
      <c r="D13" s="1" t="e">
        <f>IF(OR(Table1[[#This Row],[Type (TX, RX, TRX, Oscillator)]]="TRX",Table1[[#This Row],[Type (TX, RX, TRX, Oscillator)]]="TRX FE"),A13,#N/A)</f>
        <v>#N/A</v>
      </c>
      <c r="E13" s="1" t="e">
        <f>IF(Table1[[#This Row],[Type (TX, RX, TRX, Oscillator)]]="Oscillator",A13,#N/A)</f>
        <v>#N/A</v>
      </c>
      <c r="F13" s="1" t="e">
        <f>IF(Table1[[#This Row],[Type (TX, RX, TRX, Oscillator)]]="Relay",A13,#N/A)</f>
        <v>#N/A</v>
      </c>
      <c r="H13" s="1" t="e">
        <f>IF(Table1[[#This Row],[Process (CMOS_Bulk, CMOS_SOI, CMOS_FinFET, SiGe)]]&lt;&gt;"",Table1[[#This Row],[TX '# of Polarization]]+Table1[[#This Row],[RX '# of Polarization]],#N/A)</f>
        <v>#N/A</v>
      </c>
      <c r="I13" s="1" t="e">
        <f>IF(OR(Table1[[#This Row],[Type (TX, RX, TRX, Oscillator)]]="TX", Table1[[#This Row],[Type (TX, RX, TRX, Oscillator)]]="TX FE"),H13,#N/A)</f>
        <v>#N/A</v>
      </c>
      <c r="J13" s="1" t="e">
        <f>IF(OR(Table1[[#This Row],[Type (TX, RX, TRX, Oscillator)]]="RX", Table1[[#This Row],[Type (TX, RX, TRX, Oscillator)]]="RX FE"),H13,#N/A)</f>
        <v>#N/A</v>
      </c>
      <c r="K13" s="1" t="e">
        <f>IF(OR(Table1[[#This Row],[Type (TX, RX, TRX, Oscillator)]]="TRX",Table1[[#This Row],[Type (TX, RX, TRX, Oscillator)]]="TRX FE"),H13,#N/A)</f>
        <v>#N/A</v>
      </c>
      <c r="L13" s="1" t="e">
        <f>IF(Table1[[#This Row],[Type (TX, RX, TRX, Oscillator)]]="Oscillator",H13,#N/A)</f>
        <v>#N/A</v>
      </c>
      <c r="M13" s="1" t="e">
        <f>IF(Table1[[#This Row],[Type (TX, RX, TRX, Oscillator)]]="Relay",H13,#N/A)</f>
        <v>#N/A</v>
      </c>
    </row>
    <row r="14" spans="1:13" x14ac:dyDescent="0.2">
      <c r="A14" s="1">
        <f>IF(OR(Table1[[#This Row],['# of TX Element per IC]]&lt;&gt;"",Table1[[#This Row],['# of RX Element per IC]]&lt;&gt;""),Table1[[#This Row],['# of TX Element per IC]]+Table1[[#This Row],['# of RX Element per IC]],#N/A)</f>
        <v>16</v>
      </c>
      <c r="B14" s="1" t="e">
        <f>IF(OR(Table1[[#This Row],[Type (TX, RX, TRX, Oscillator)]]="TX", Table1[[#This Row],[Type (TX, RX, TRX, Oscillator)]]="TX FE"),A14,#N/A)</f>
        <v>#N/A</v>
      </c>
      <c r="C14" s="1" t="e">
        <f>IF(OR(Table1[[#This Row],[Type (TX, RX, TRX, Oscillator)]]="RX", Table1[[#This Row],[Type (TX, RX, TRX, Oscillator)]]="RX FE"),A14,#N/A)</f>
        <v>#N/A</v>
      </c>
      <c r="D14" s="1" t="e">
        <f>IF(OR(Table1[[#This Row],[Type (TX, RX, TRX, Oscillator)]]="TRX",Table1[[#This Row],[Type (TX, RX, TRX, Oscillator)]]="TRX FE"),A14,#N/A)</f>
        <v>#N/A</v>
      </c>
      <c r="E14" s="1">
        <f>IF(Table1[[#This Row],[Type (TX, RX, TRX, Oscillator)]]="Oscillator",A14,#N/A)</f>
        <v>16</v>
      </c>
      <c r="F14" s="1" t="e">
        <f>IF(Table1[[#This Row],[Type (TX, RX, TRX, Oscillator)]]="Relay",A14,#N/A)</f>
        <v>#N/A</v>
      </c>
      <c r="H14" s="1">
        <f>IF(Table1[[#This Row],[Process (CMOS_Bulk, CMOS_SOI, CMOS_FinFET, SiGe)]]&lt;&gt;"",Table1[[#This Row],[TX '# of Polarization]]+Table1[[#This Row],[RX '# of Polarization]],#N/A)</f>
        <v>2</v>
      </c>
      <c r="I14" s="1" t="e">
        <f>IF(OR(Table1[[#This Row],[Type (TX, RX, TRX, Oscillator)]]="TX", Table1[[#This Row],[Type (TX, RX, TRX, Oscillator)]]="TX FE"),H14,#N/A)</f>
        <v>#N/A</v>
      </c>
      <c r="J14" s="1" t="e">
        <f>IF(OR(Table1[[#This Row],[Type (TX, RX, TRX, Oscillator)]]="RX", Table1[[#This Row],[Type (TX, RX, TRX, Oscillator)]]="RX FE"),H14,#N/A)</f>
        <v>#N/A</v>
      </c>
      <c r="K14" s="1" t="e">
        <f>IF(OR(Table1[[#This Row],[Type (TX, RX, TRX, Oscillator)]]="TRX",Table1[[#This Row],[Type (TX, RX, TRX, Oscillator)]]="TRX FE"),H14,#N/A)</f>
        <v>#N/A</v>
      </c>
      <c r="L14" s="1">
        <f>IF(Table1[[#This Row],[Type (TX, RX, TRX, Oscillator)]]="Oscillator",H14,#N/A)</f>
        <v>2</v>
      </c>
      <c r="M14" s="1" t="e">
        <f>IF(Table1[[#This Row],[Type (TX, RX, TRX, Oscillator)]]="Relay",H14,#N/A)</f>
        <v>#N/A</v>
      </c>
    </row>
    <row r="15" spans="1:13" x14ac:dyDescent="0.2">
      <c r="A15" s="1">
        <f>IF(OR(Table1[[#This Row],['# of TX Element per IC]]&lt;&gt;"",Table1[[#This Row],['# of RX Element per IC]]&lt;&gt;""),Table1[[#This Row],['# of TX Element per IC]]+Table1[[#This Row],['# of RX Element per IC]],#N/A)</f>
        <v>32</v>
      </c>
      <c r="B15" s="1" t="e">
        <f>IF(OR(Table1[[#This Row],[Type (TX, RX, TRX, Oscillator)]]="TX", Table1[[#This Row],[Type (TX, RX, TRX, Oscillator)]]="TX FE"),A15,#N/A)</f>
        <v>#N/A</v>
      </c>
      <c r="C15" s="1" t="e">
        <f>IF(OR(Table1[[#This Row],[Type (TX, RX, TRX, Oscillator)]]="RX", Table1[[#This Row],[Type (TX, RX, TRX, Oscillator)]]="RX FE"),A15,#N/A)</f>
        <v>#N/A</v>
      </c>
      <c r="D15" s="1">
        <f>IF(OR(Table1[[#This Row],[Type (TX, RX, TRX, Oscillator)]]="TRX",Table1[[#This Row],[Type (TX, RX, TRX, Oscillator)]]="TRX FE"),A15,#N/A)</f>
        <v>32</v>
      </c>
      <c r="E15" s="1" t="e">
        <f>IF(Table1[[#This Row],[Type (TX, RX, TRX, Oscillator)]]="Oscillator",A15,#N/A)</f>
        <v>#N/A</v>
      </c>
      <c r="F15" s="1" t="e">
        <f>IF(Table1[[#This Row],[Type (TX, RX, TRX, Oscillator)]]="Relay",A15,#N/A)</f>
        <v>#N/A</v>
      </c>
      <c r="H15" s="1">
        <f>IF(Table1[[#This Row],[Process (CMOS_Bulk, CMOS_SOI, CMOS_FinFET, SiGe)]]&lt;&gt;"",Table1[[#This Row],[TX '# of Polarization]]+Table1[[#This Row],[RX '# of Polarization]],#N/A)</f>
        <v>2</v>
      </c>
      <c r="I15" s="1" t="e">
        <f>IF(OR(Table1[[#This Row],[Type (TX, RX, TRX, Oscillator)]]="TX", Table1[[#This Row],[Type (TX, RX, TRX, Oscillator)]]="TX FE"),H15,#N/A)</f>
        <v>#N/A</v>
      </c>
      <c r="J15" s="1" t="e">
        <f>IF(OR(Table1[[#This Row],[Type (TX, RX, TRX, Oscillator)]]="RX", Table1[[#This Row],[Type (TX, RX, TRX, Oscillator)]]="RX FE"),H15,#N/A)</f>
        <v>#N/A</v>
      </c>
      <c r="K15" s="1">
        <f>IF(OR(Table1[[#This Row],[Type (TX, RX, TRX, Oscillator)]]="TRX",Table1[[#This Row],[Type (TX, RX, TRX, Oscillator)]]="TRX FE"),H15,#N/A)</f>
        <v>2</v>
      </c>
      <c r="L15" s="1" t="e">
        <f>IF(Table1[[#This Row],[Type (TX, RX, TRX, Oscillator)]]="Oscillator",H15,#N/A)</f>
        <v>#N/A</v>
      </c>
      <c r="M15" s="1" t="e">
        <f>IF(Table1[[#This Row],[Type (TX, RX, TRX, Oscillator)]]="Relay",H15,#N/A)</f>
        <v>#N/A</v>
      </c>
    </row>
    <row r="16" spans="1:13" x14ac:dyDescent="0.2">
      <c r="A16" s="1">
        <f>IF(OR(Table1[[#This Row],['# of TX Element per IC]]&lt;&gt;"",Table1[[#This Row],['# of RX Element per IC]]&lt;&gt;""),Table1[[#This Row],['# of TX Element per IC]]+Table1[[#This Row],['# of RX Element per IC]],#N/A)</f>
        <v>20</v>
      </c>
      <c r="B16" s="1" t="e">
        <f>IF(OR(Table1[[#This Row],[Type (TX, RX, TRX, Oscillator)]]="TX", Table1[[#This Row],[Type (TX, RX, TRX, Oscillator)]]="TX FE"),A16,#N/A)</f>
        <v>#N/A</v>
      </c>
      <c r="C16" s="1" t="e">
        <f>IF(OR(Table1[[#This Row],[Type (TX, RX, TRX, Oscillator)]]="RX", Table1[[#This Row],[Type (TX, RX, TRX, Oscillator)]]="RX FE"),A16,#N/A)</f>
        <v>#N/A</v>
      </c>
      <c r="D16" s="1">
        <f>IF(OR(Table1[[#This Row],[Type (TX, RX, TRX, Oscillator)]]="TRX",Table1[[#This Row],[Type (TX, RX, TRX, Oscillator)]]="TRX FE"),A16,#N/A)</f>
        <v>20</v>
      </c>
      <c r="E16" s="1" t="e">
        <f>IF(Table1[[#This Row],[Type (TX, RX, TRX, Oscillator)]]="Oscillator",A16,#N/A)</f>
        <v>#N/A</v>
      </c>
      <c r="F16" s="1" t="e">
        <f>IF(Table1[[#This Row],[Type (TX, RX, TRX, Oscillator)]]="Relay",A16,#N/A)</f>
        <v>#N/A</v>
      </c>
      <c r="H16" s="1">
        <f>IF(Table1[[#This Row],[Process (CMOS_Bulk, CMOS_SOI, CMOS_FinFET, SiGe)]]&lt;&gt;"",Table1[[#This Row],[TX '# of Polarization]]+Table1[[#This Row],[RX '# of Polarization]],#N/A)</f>
        <v>2</v>
      </c>
      <c r="I16" s="1" t="e">
        <f>IF(OR(Table1[[#This Row],[Type (TX, RX, TRX, Oscillator)]]="TX", Table1[[#This Row],[Type (TX, RX, TRX, Oscillator)]]="TX FE"),H16,#N/A)</f>
        <v>#N/A</v>
      </c>
      <c r="J16" s="1" t="e">
        <f>IF(OR(Table1[[#This Row],[Type (TX, RX, TRX, Oscillator)]]="RX", Table1[[#This Row],[Type (TX, RX, TRX, Oscillator)]]="RX FE"),H16,#N/A)</f>
        <v>#N/A</v>
      </c>
      <c r="K16" s="1">
        <f>IF(OR(Table1[[#This Row],[Type (TX, RX, TRX, Oscillator)]]="TRX",Table1[[#This Row],[Type (TX, RX, TRX, Oscillator)]]="TRX FE"),H16,#N/A)</f>
        <v>2</v>
      </c>
      <c r="L16" s="1" t="e">
        <f>IF(Table1[[#This Row],[Type (TX, RX, TRX, Oscillator)]]="Oscillator",H16,#N/A)</f>
        <v>#N/A</v>
      </c>
      <c r="M16" s="1" t="e">
        <f>IF(Table1[[#This Row],[Type (TX, RX, TRX, Oscillator)]]="Relay",H16,#N/A)</f>
        <v>#N/A</v>
      </c>
    </row>
    <row r="17" spans="1:13" x14ac:dyDescent="0.2">
      <c r="A17" s="1">
        <f>IF(OR(Table1[[#This Row],['# of TX Element per IC]]&lt;&gt;"",Table1[[#This Row],['# of RX Element per IC]]&lt;&gt;""),Table1[[#This Row],['# of TX Element per IC]]+Table1[[#This Row],['# of RX Element per IC]],#N/A)</f>
        <v>20</v>
      </c>
      <c r="B17" s="1" t="e">
        <f>IF(OR(Table1[[#This Row],[Type (TX, RX, TRX, Oscillator)]]="TX", Table1[[#This Row],[Type (TX, RX, TRX, Oscillator)]]="TX FE"),A17,#N/A)</f>
        <v>#N/A</v>
      </c>
      <c r="C17" s="1" t="e">
        <f>IF(OR(Table1[[#This Row],[Type (TX, RX, TRX, Oscillator)]]="RX", Table1[[#This Row],[Type (TX, RX, TRX, Oscillator)]]="RX FE"),A17,#N/A)</f>
        <v>#N/A</v>
      </c>
      <c r="D17" s="1">
        <f>IF(OR(Table1[[#This Row],[Type (TX, RX, TRX, Oscillator)]]="TRX",Table1[[#This Row],[Type (TX, RX, TRX, Oscillator)]]="TRX FE"),A17,#N/A)</f>
        <v>20</v>
      </c>
      <c r="E17" s="1" t="e">
        <f>IF(Table1[[#This Row],[Type (TX, RX, TRX, Oscillator)]]="Oscillator",A17,#N/A)</f>
        <v>#N/A</v>
      </c>
      <c r="F17" s="1" t="e">
        <f>IF(Table1[[#This Row],[Type (TX, RX, TRX, Oscillator)]]="Relay",A17,#N/A)</f>
        <v>#N/A</v>
      </c>
      <c r="H17" s="1">
        <f>IF(Table1[[#This Row],[Process (CMOS_Bulk, CMOS_SOI, CMOS_FinFET, SiGe)]]&lt;&gt;"",Table1[[#This Row],[TX '# of Polarization]]+Table1[[#This Row],[RX '# of Polarization]],#N/A)</f>
        <v>2</v>
      </c>
      <c r="I17" s="1" t="e">
        <f>IF(OR(Table1[[#This Row],[Type (TX, RX, TRX, Oscillator)]]="TX", Table1[[#This Row],[Type (TX, RX, TRX, Oscillator)]]="TX FE"),H17,#N/A)</f>
        <v>#N/A</v>
      </c>
      <c r="J17" s="1" t="e">
        <f>IF(OR(Table1[[#This Row],[Type (TX, RX, TRX, Oscillator)]]="RX", Table1[[#This Row],[Type (TX, RX, TRX, Oscillator)]]="RX FE"),H17,#N/A)</f>
        <v>#N/A</v>
      </c>
      <c r="K17" s="1">
        <f>IF(OR(Table1[[#This Row],[Type (TX, RX, TRX, Oscillator)]]="TRX",Table1[[#This Row],[Type (TX, RX, TRX, Oscillator)]]="TRX FE"),H17,#N/A)</f>
        <v>2</v>
      </c>
      <c r="L17" s="1" t="e">
        <f>IF(Table1[[#This Row],[Type (TX, RX, TRX, Oscillator)]]="Oscillator",H17,#N/A)</f>
        <v>#N/A</v>
      </c>
      <c r="M17" s="1" t="e">
        <f>IF(Table1[[#This Row],[Type (TX, RX, TRX, Oscillator)]]="Relay",H17,#N/A)</f>
        <v>#N/A</v>
      </c>
    </row>
    <row r="18" spans="1:13" x14ac:dyDescent="0.2">
      <c r="A18" s="1" t="e">
        <f>IF(OR(Table1[[#This Row],['# of TX Element per IC]]&lt;&gt;"",Table1[[#This Row],['# of RX Element per IC]]&lt;&gt;""),Table1[[#This Row],['# of TX Element per IC]]+Table1[[#This Row],['# of RX Element per IC]],#N/A)</f>
        <v>#N/A</v>
      </c>
      <c r="B18" s="1" t="e">
        <f>IF(OR(Table1[[#This Row],[Type (TX, RX, TRX, Oscillator)]]="TX", Table1[[#This Row],[Type (TX, RX, TRX, Oscillator)]]="TX FE"),A18,#N/A)</f>
        <v>#N/A</v>
      </c>
      <c r="C18" s="1" t="e">
        <f>IF(OR(Table1[[#This Row],[Type (TX, RX, TRX, Oscillator)]]="RX", Table1[[#This Row],[Type (TX, RX, TRX, Oscillator)]]="RX FE"),A18,#N/A)</f>
        <v>#N/A</v>
      </c>
      <c r="D18" s="1" t="e">
        <f>IF(OR(Table1[[#This Row],[Type (TX, RX, TRX, Oscillator)]]="TRX",Table1[[#This Row],[Type (TX, RX, TRX, Oscillator)]]="TRX FE"),A18,#N/A)</f>
        <v>#N/A</v>
      </c>
      <c r="E18" s="1" t="e">
        <f>IF(Table1[[#This Row],[Type (TX, RX, TRX, Oscillator)]]="Oscillator",A18,#N/A)</f>
        <v>#N/A</v>
      </c>
      <c r="F18" s="1" t="e">
        <f>IF(Table1[[#This Row],[Type (TX, RX, TRX, Oscillator)]]="Relay",A18,#N/A)</f>
        <v>#N/A</v>
      </c>
      <c r="H18" s="1" t="e">
        <f>IF(Table1[[#This Row],[Process (CMOS_Bulk, CMOS_SOI, CMOS_FinFET, SiGe)]]&lt;&gt;"",Table1[[#This Row],[TX '# of Polarization]]+Table1[[#This Row],[RX '# of Polarization]],#N/A)</f>
        <v>#N/A</v>
      </c>
      <c r="I18" s="1" t="e">
        <f>IF(OR(Table1[[#This Row],[Type (TX, RX, TRX, Oscillator)]]="TX", Table1[[#This Row],[Type (TX, RX, TRX, Oscillator)]]="TX FE"),H18,#N/A)</f>
        <v>#N/A</v>
      </c>
      <c r="J18" s="1" t="e">
        <f>IF(OR(Table1[[#This Row],[Type (TX, RX, TRX, Oscillator)]]="RX", Table1[[#This Row],[Type (TX, RX, TRX, Oscillator)]]="RX FE"),H18,#N/A)</f>
        <v>#N/A</v>
      </c>
      <c r="K18" s="1" t="e">
        <f>IF(OR(Table1[[#This Row],[Type (TX, RX, TRX, Oscillator)]]="TRX",Table1[[#This Row],[Type (TX, RX, TRX, Oscillator)]]="TRX FE"),H18,#N/A)</f>
        <v>#N/A</v>
      </c>
      <c r="L18" s="1" t="e">
        <f>IF(Table1[[#This Row],[Type (TX, RX, TRX, Oscillator)]]="Oscillator",H18,#N/A)</f>
        <v>#N/A</v>
      </c>
      <c r="M18" s="1" t="e">
        <f>IF(Table1[[#This Row],[Type (TX, RX, TRX, Oscillator)]]="Relay",H18,#N/A)</f>
        <v>#N/A</v>
      </c>
    </row>
    <row r="19" spans="1:13" x14ac:dyDescent="0.2">
      <c r="A19" s="1">
        <f>IF(OR(Table1[[#This Row],['# of TX Element per IC]]&lt;&gt;"",Table1[[#This Row],['# of RX Element per IC]]&lt;&gt;""),Table1[[#This Row],['# of TX Element per IC]]+Table1[[#This Row],['# of RX Element per IC]],#N/A)</f>
        <v>8</v>
      </c>
      <c r="B19" s="1">
        <f>IF(OR(Table1[[#This Row],[Type (TX, RX, TRX, Oscillator)]]="TX", Table1[[#This Row],[Type (TX, RX, TRX, Oscillator)]]="TX FE"),A19,#N/A)</f>
        <v>8</v>
      </c>
      <c r="C19" s="1" t="e">
        <f>IF(OR(Table1[[#This Row],[Type (TX, RX, TRX, Oscillator)]]="RX", Table1[[#This Row],[Type (TX, RX, TRX, Oscillator)]]="RX FE"),A19,#N/A)</f>
        <v>#N/A</v>
      </c>
      <c r="D19" s="1" t="e">
        <f>IF(OR(Table1[[#This Row],[Type (TX, RX, TRX, Oscillator)]]="TRX",Table1[[#This Row],[Type (TX, RX, TRX, Oscillator)]]="TRX FE"),A19,#N/A)</f>
        <v>#N/A</v>
      </c>
      <c r="E19" s="1" t="e">
        <f>IF(Table1[[#This Row],[Type (TX, RX, TRX, Oscillator)]]="Oscillator",A19,#N/A)</f>
        <v>#N/A</v>
      </c>
      <c r="F19" s="1" t="e">
        <f>IF(Table1[[#This Row],[Type (TX, RX, TRX, Oscillator)]]="Relay",A19,#N/A)</f>
        <v>#N/A</v>
      </c>
      <c r="H19" s="1">
        <f>IF(Table1[[#This Row],[Process (CMOS_Bulk, CMOS_SOI, CMOS_FinFET, SiGe)]]&lt;&gt;"",Table1[[#This Row],[TX '# of Polarization]]+Table1[[#This Row],[RX '# of Polarization]],#N/A)</f>
        <v>1</v>
      </c>
      <c r="I19" s="1">
        <f>IF(OR(Table1[[#This Row],[Type (TX, RX, TRX, Oscillator)]]="TX", Table1[[#This Row],[Type (TX, RX, TRX, Oscillator)]]="TX FE"),H19,#N/A)</f>
        <v>1</v>
      </c>
      <c r="J19" s="1" t="e">
        <f>IF(OR(Table1[[#This Row],[Type (TX, RX, TRX, Oscillator)]]="RX", Table1[[#This Row],[Type (TX, RX, TRX, Oscillator)]]="RX FE"),H19,#N/A)</f>
        <v>#N/A</v>
      </c>
      <c r="K19" s="1" t="e">
        <f>IF(OR(Table1[[#This Row],[Type (TX, RX, TRX, Oscillator)]]="TRX",Table1[[#This Row],[Type (TX, RX, TRX, Oscillator)]]="TRX FE"),H19,#N/A)</f>
        <v>#N/A</v>
      </c>
      <c r="L19" s="1" t="e">
        <f>IF(Table1[[#This Row],[Type (TX, RX, TRX, Oscillator)]]="Oscillator",H19,#N/A)</f>
        <v>#N/A</v>
      </c>
      <c r="M19" s="1" t="e">
        <f>IF(Table1[[#This Row],[Type (TX, RX, TRX, Oscillator)]]="Relay",H19,#N/A)</f>
        <v>#N/A</v>
      </c>
    </row>
    <row r="20" spans="1:13" x14ac:dyDescent="0.2">
      <c r="A20" s="1">
        <f>IF(OR(Table1[[#This Row],['# of TX Element per IC]]&lt;&gt;"",Table1[[#This Row],['# of RX Element per IC]]&lt;&gt;""),Table1[[#This Row],['# of TX Element per IC]]+Table1[[#This Row],['# of RX Element per IC]],#N/A)</f>
        <v>64</v>
      </c>
      <c r="B20" s="1">
        <f>IF(OR(Table1[[#This Row],[Type (TX, RX, TRX, Oscillator)]]="TX", Table1[[#This Row],[Type (TX, RX, TRX, Oscillator)]]="TX FE"),A20,#N/A)</f>
        <v>64</v>
      </c>
      <c r="C20" s="1" t="e">
        <f>IF(OR(Table1[[#This Row],[Type (TX, RX, TRX, Oscillator)]]="RX", Table1[[#This Row],[Type (TX, RX, TRX, Oscillator)]]="RX FE"),A20,#N/A)</f>
        <v>#N/A</v>
      </c>
      <c r="D20" s="1" t="e">
        <f>IF(OR(Table1[[#This Row],[Type (TX, RX, TRX, Oscillator)]]="TRX",Table1[[#This Row],[Type (TX, RX, TRX, Oscillator)]]="TRX FE"),A20,#N/A)</f>
        <v>#N/A</v>
      </c>
      <c r="E20" s="1" t="e">
        <f>IF(Table1[[#This Row],[Type (TX, RX, TRX, Oscillator)]]="Oscillator",A20,#N/A)</f>
        <v>#N/A</v>
      </c>
      <c r="F20" s="1" t="e">
        <f>IF(Table1[[#This Row],[Type (TX, RX, TRX, Oscillator)]]="Relay",A20,#N/A)</f>
        <v>#N/A</v>
      </c>
      <c r="H20" s="1">
        <f>IF(Table1[[#This Row],[Process (CMOS_Bulk, CMOS_SOI, CMOS_FinFET, SiGe)]]&lt;&gt;"",Table1[[#This Row],[TX '# of Polarization]]+Table1[[#This Row],[RX '# of Polarization]],#N/A)</f>
        <v>1</v>
      </c>
      <c r="I20" s="1">
        <f>IF(OR(Table1[[#This Row],[Type (TX, RX, TRX, Oscillator)]]="TX", Table1[[#This Row],[Type (TX, RX, TRX, Oscillator)]]="TX FE"),H20,#N/A)</f>
        <v>1</v>
      </c>
      <c r="J20" s="1" t="e">
        <f>IF(OR(Table1[[#This Row],[Type (TX, RX, TRX, Oscillator)]]="RX", Table1[[#This Row],[Type (TX, RX, TRX, Oscillator)]]="RX FE"),H20,#N/A)</f>
        <v>#N/A</v>
      </c>
      <c r="K20" s="1" t="e">
        <f>IF(OR(Table1[[#This Row],[Type (TX, RX, TRX, Oscillator)]]="TRX",Table1[[#This Row],[Type (TX, RX, TRX, Oscillator)]]="TRX FE"),H20,#N/A)</f>
        <v>#N/A</v>
      </c>
      <c r="L20" s="1" t="e">
        <f>IF(Table1[[#This Row],[Type (TX, RX, TRX, Oscillator)]]="Oscillator",H20,#N/A)</f>
        <v>#N/A</v>
      </c>
      <c r="M20" s="1" t="e">
        <f>IF(Table1[[#This Row],[Type (TX, RX, TRX, Oscillator)]]="Relay",H20,#N/A)</f>
        <v>#N/A</v>
      </c>
    </row>
    <row r="21" spans="1:13" x14ac:dyDescent="0.2">
      <c r="A21" s="1">
        <f>IF(OR(Table1[[#This Row],['# of TX Element per IC]]&lt;&gt;"",Table1[[#This Row],['# of RX Element per IC]]&lt;&gt;""),Table1[[#This Row],['# of TX Element per IC]]+Table1[[#This Row],['# of RX Element per IC]],#N/A)</f>
        <v>64</v>
      </c>
      <c r="B21" s="1">
        <f>IF(OR(Table1[[#This Row],[Type (TX, RX, TRX, Oscillator)]]="TX", Table1[[#This Row],[Type (TX, RX, TRX, Oscillator)]]="TX FE"),A21,#N/A)</f>
        <v>64</v>
      </c>
      <c r="C21" s="1" t="e">
        <f>IF(OR(Table1[[#This Row],[Type (TX, RX, TRX, Oscillator)]]="RX", Table1[[#This Row],[Type (TX, RX, TRX, Oscillator)]]="RX FE"),A21,#N/A)</f>
        <v>#N/A</v>
      </c>
      <c r="D21" s="1" t="e">
        <f>IF(OR(Table1[[#This Row],[Type (TX, RX, TRX, Oscillator)]]="TRX",Table1[[#This Row],[Type (TX, RX, TRX, Oscillator)]]="TRX FE"),A21,#N/A)</f>
        <v>#N/A</v>
      </c>
      <c r="E21" s="1" t="e">
        <f>IF(Table1[[#This Row],[Type (TX, RX, TRX, Oscillator)]]="Oscillator",A21,#N/A)</f>
        <v>#N/A</v>
      </c>
      <c r="F21" s="1" t="e">
        <f>IF(Table1[[#This Row],[Type (TX, RX, TRX, Oscillator)]]="Relay",A21,#N/A)</f>
        <v>#N/A</v>
      </c>
      <c r="H21" s="1">
        <f>IF(Table1[[#This Row],[Process (CMOS_Bulk, CMOS_SOI, CMOS_FinFET, SiGe)]]&lt;&gt;"",Table1[[#This Row],[TX '# of Polarization]]+Table1[[#This Row],[RX '# of Polarization]],#N/A)</f>
        <v>1</v>
      </c>
      <c r="I21" s="1">
        <f>IF(OR(Table1[[#This Row],[Type (TX, RX, TRX, Oscillator)]]="TX", Table1[[#This Row],[Type (TX, RX, TRX, Oscillator)]]="TX FE"),H21,#N/A)</f>
        <v>1</v>
      </c>
      <c r="J21" s="1" t="e">
        <f>IF(OR(Table1[[#This Row],[Type (TX, RX, TRX, Oscillator)]]="RX", Table1[[#This Row],[Type (TX, RX, TRX, Oscillator)]]="RX FE"),H21,#N/A)</f>
        <v>#N/A</v>
      </c>
      <c r="K21" s="1" t="e">
        <f>IF(OR(Table1[[#This Row],[Type (TX, RX, TRX, Oscillator)]]="TRX",Table1[[#This Row],[Type (TX, RX, TRX, Oscillator)]]="TRX FE"),H21,#N/A)</f>
        <v>#N/A</v>
      </c>
      <c r="L21" s="1" t="e">
        <f>IF(Table1[[#This Row],[Type (TX, RX, TRX, Oscillator)]]="Oscillator",H21,#N/A)</f>
        <v>#N/A</v>
      </c>
      <c r="M21" s="1" t="e">
        <f>IF(Table1[[#This Row],[Type (TX, RX, TRX, Oscillator)]]="Relay",H21,#N/A)</f>
        <v>#N/A</v>
      </c>
    </row>
    <row r="22" spans="1:13" x14ac:dyDescent="0.2">
      <c r="A22" s="1">
        <f>IF(OR(Table1[[#This Row],['# of TX Element per IC]]&lt;&gt;"",Table1[[#This Row],['# of RX Element per IC]]&lt;&gt;""),Table1[[#This Row],['# of TX Element per IC]]+Table1[[#This Row],['# of RX Element per IC]],#N/A)</f>
        <v>32</v>
      </c>
      <c r="B22" s="1" t="e">
        <f>IF(OR(Table1[[#This Row],[Type (TX, RX, TRX, Oscillator)]]="TX", Table1[[#This Row],[Type (TX, RX, TRX, Oscillator)]]="TX FE"),A22,#N/A)</f>
        <v>#N/A</v>
      </c>
      <c r="C22" s="1" t="e">
        <f>IF(OR(Table1[[#This Row],[Type (TX, RX, TRX, Oscillator)]]="RX", Table1[[#This Row],[Type (TX, RX, TRX, Oscillator)]]="RX FE"),A22,#N/A)</f>
        <v>#N/A</v>
      </c>
      <c r="D22" s="1">
        <f>IF(OR(Table1[[#This Row],[Type (TX, RX, TRX, Oscillator)]]="TRX",Table1[[#This Row],[Type (TX, RX, TRX, Oscillator)]]="TRX FE"),A22,#N/A)</f>
        <v>32</v>
      </c>
      <c r="E22" s="1" t="e">
        <f>IF(Table1[[#This Row],[Type (TX, RX, TRX, Oscillator)]]="Oscillator",A22,#N/A)</f>
        <v>#N/A</v>
      </c>
      <c r="F22" s="1" t="e">
        <f>IF(Table1[[#This Row],[Type (TX, RX, TRX, Oscillator)]]="Relay",A22,#N/A)</f>
        <v>#N/A</v>
      </c>
      <c r="H22" s="1">
        <f>IF(Table1[[#This Row],[Process (CMOS_Bulk, CMOS_SOI, CMOS_FinFET, SiGe)]]&lt;&gt;"",Table1[[#This Row],[TX '# of Polarization]]+Table1[[#This Row],[RX '# of Polarization]],#N/A)</f>
        <v>4</v>
      </c>
      <c r="I22" s="1" t="e">
        <f>IF(OR(Table1[[#This Row],[Type (TX, RX, TRX, Oscillator)]]="TX", Table1[[#This Row],[Type (TX, RX, TRX, Oscillator)]]="TX FE"),H22,#N/A)</f>
        <v>#N/A</v>
      </c>
      <c r="J22" s="1" t="e">
        <f>IF(OR(Table1[[#This Row],[Type (TX, RX, TRX, Oscillator)]]="RX", Table1[[#This Row],[Type (TX, RX, TRX, Oscillator)]]="RX FE"),H22,#N/A)</f>
        <v>#N/A</v>
      </c>
      <c r="K22" s="1">
        <f>IF(OR(Table1[[#This Row],[Type (TX, RX, TRX, Oscillator)]]="TRX",Table1[[#This Row],[Type (TX, RX, TRX, Oscillator)]]="TRX FE"),H22,#N/A)</f>
        <v>4</v>
      </c>
      <c r="L22" s="1" t="e">
        <f>IF(Table1[[#This Row],[Type (TX, RX, TRX, Oscillator)]]="Oscillator",H22,#N/A)</f>
        <v>#N/A</v>
      </c>
      <c r="M22" s="1" t="e">
        <f>IF(Table1[[#This Row],[Type (TX, RX, TRX, Oscillator)]]="Relay",H22,#N/A)</f>
        <v>#N/A</v>
      </c>
    </row>
    <row r="23" spans="1:13" x14ac:dyDescent="0.2">
      <c r="A23" s="1">
        <f>IF(OR(Table1[[#This Row],['# of TX Element per IC]]&lt;&gt;"",Table1[[#This Row],['# of RX Element per IC]]&lt;&gt;""),Table1[[#This Row],['# of TX Element per IC]]+Table1[[#This Row],['# of RX Element per IC]],#N/A)</f>
        <v>1</v>
      </c>
      <c r="B23" s="1">
        <f>IF(OR(Table1[[#This Row],[Type (TX, RX, TRX, Oscillator)]]="TX", Table1[[#This Row],[Type (TX, RX, TRX, Oscillator)]]="TX FE"),A23,#N/A)</f>
        <v>1</v>
      </c>
      <c r="C23" s="1" t="e">
        <f>IF(OR(Table1[[#This Row],[Type (TX, RX, TRX, Oscillator)]]="RX", Table1[[#This Row],[Type (TX, RX, TRX, Oscillator)]]="RX FE"),A23,#N/A)</f>
        <v>#N/A</v>
      </c>
      <c r="D23" s="1" t="e">
        <f>IF(OR(Table1[[#This Row],[Type (TX, RX, TRX, Oscillator)]]="TRX",Table1[[#This Row],[Type (TX, RX, TRX, Oscillator)]]="TRX FE"),A23,#N/A)</f>
        <v>#N/A</v>
      </c>
      <c r="E23" s="1" t="e">
        <f>IF(Table1[[#This Row],[Type (TX, RX, TRX, Oscillator)]]="Oscillator",A23,#N/A)</f>
        <v>#N/A</v>
      </c>
      <c r="F23" s="1" t="e">
        <f>IF(Table1[[#This Row],[Type (TX, RX, TRX, Oscillator)]]="Relay",A23,#N/A)</f>
        <v>#N/A</v>
      </c>
      <c r="H23" s="1">
        <f>IF(Table1[[#This Row],[Process (CMOS_Bulk, CMOS_SOI, CMOS_FinFET, SiGe)]]&lt;&gt;"",Table1[[#This Row],[TX '# of Polarization]]+Table1[[#This Row],[RX '# of Polarization]],#N/A)</f>
        <v>1</v>
      </c>
      <c r="I23" s="1">
        <f>IF(OR(Table1[[#This Row],[Type (TX, RX, TRX, Oscillator)]]="TX", Table1[[#This Row],[Type (TX, RX, TRX, Oscillator)]]="TX FE"),H23,#N/A)</f>
        <v>1</v>
      </c>
      <c r="J23" s="1" t="e">
        <f>IF(OR(Table1[[#This Row],[Type (TX, RX, TRX, Oscillator)]]="RX", Table1[[#This Row],[Type (TX, RX, TRX, Oscillator)]]="RX FE"),H23,#N/A)</f>
        <v>#N/A</v>
      </c>
      <c r="K23" s="1" t="e">
        <f>IF(OR(Table1[[#This Row],[Type (TX, RX, TRX, Oscillator)]]="TRX",Table1[[#This Row],[Type (TX, RX, TRX, Oscillator)]]="TRX FE"),H23,#N/A)</f>
        <v>#N/A</v>
      </c>
      <c r="L23" s="1" t="e">
        <f>IF(Table1[[#This Row],[Type (TX, RX, TRX, Oscillator)]]="Oscillator",H23,#N/A)</f>
        <v>#N/A</v>
      </c>
      <c r="M23" s="1" t="e">
        <f>IF(Table1[[#This Row],[Type (TX, RX, TRX, Oscillator)]]="Relay",H23,#N/A)</f>
        <v>#N/A</v>
      </c>
    </row>
    <row r="24" spans="1:13" x14ac:dyDescent="0.2">
      <c r="A24" s="1">
        <f>IF(OR(Table1[[#This Row],['# of TX Element per IC]]&lt;&gt;"",Table1[[#This Row],['# of RX Element per IC]]&lt;&gt;""),Table1[[#This Row],['# of TX Element per IC]]+Table1[[#This Row],['# of RX Element per IC]],#N/A)</f>
        <v>1</v>
      </c>
      <c r="B24" s="1" t="e">
        <f>IF(OR(Table1[[#This Row],[Type (TX, RX, TRX, Oscillator)]]="TX", Table1[[#This Row],[Type (TX, RX, TRX, Oscillator)]]="TX FE"),A24,#N/A)</f>
        <v>#N/A</v>
      </c>
      <c r="C24" s="1">
        <f>IF(OR(Table1[[#This Row],[Type (TX, RX, TRX, Oscillator)]]="RX", Table1[[#This Row],[Type (TX, RX, TRX, Oscillator)]]="RX FE"),A24,#N/A)</f>
        <v>1</v>
      </c>
      <c r="D24" s="1" t="e">
        <f>IF(OR(Table1[[#This Row],[Type (TX, RX, TRX, Oscillator)]]="TRX",Table1[[#This Row],[Type (TX, RX, TRX, Oscillator)]]="TRX FE"),A24,#N/A)</f>
        <v>#N/A</v>
      </c>
      <c r="E24" s="1" t="e">
        <f>IF(Table1[[#This Row],[Type (TX, RX, TRX, Oscillator)]]="Oscillator",A24,#N/A)</f>
        <v>#N/A</v>
      </c>
      <c r="F24" s="1" t="e">
        <f>IF(Table1[[#This Row],[Type (TX, RX, TRX, Oscillator)]]="Relay",A24,#N/A)</f>
        <v>#N/A</v>
      </c>
      <c r="H24" s="1">
        <f>IF(Table1[[#This Row],[Process (CMOS_Bulk, CMOS_SOI, CMOS_FinFET, SiGe)]]&lt;&gt;"",Table1[[#This Row],[TX '# of Polarization]]+Table1[[#This Row],[RX '# of Polarization]],#N/A)</f>
        <v>1</v>
      </c>
      <c r="I24" s="1" t="e">
        <f>IF(OR(Table1[[#This Row],[Type (TX, RX, TRX, Oscillator)]]="TX", Table1[[#This Row],[Type (TX, RX, TRX, Oscillator)]]="TX FE"),H24,#N/A)</f>
        <v>#N/A</v>
      </c>
      <c r="J24" s="1">
        <f>IF(OR(Table1[[#This Row],[Type (TX, RX, TRX, Oscillator)]]="RX", Table1[[#This Row],[Type (TX, RX, TRX, Oscillator)]]="RX FE"),H24,#N/A)</f>
        <v>1</v>
      </c>
      <c r="K24" s="1" t="e">
        <f>IF(OR(Table1[[#This Row],[Type (TX, RX, TRX, Oscillator)]]="TRX",Table1[[#This Row],[Type (TX, RX, TRX, Oscillator)]]="TRX FE"),H24,#N/A)</f>
        <v>#N/A</v>
      </c>
      <c r="L24" s="1" t="e">
        <f>IF(Table1[[#This Row],[Type (TX, RX, TRX, Oscillator)]]="Oscillator",H24,#N/A)</f>
        <v>#N/A</v>
      </c>
      <c r="M24" s="1" t="e">
        <f>IF(Table1[[#This Row],[Type (TX, RX, TRX, Oscillator)]]="Relay",H24,#N/A)</f>
        <v>#N/A</v>
      </c>
    </row>
    <row r="25" spans="1:13" x14ac:dyDescent="0.2">
      <c r="A25" s="1">
        <f>IF(OR(Table1[[#This Row],['# of TX Element per IC]]&lt;&gt;"",Table1[[#This Row],['# of RX Element per IC]]&lt;&gt;""),Table1[[#This Row],['# of TX Element per IC]]+Table1[[#This Row],['# of RX Element per IC]],#N/A)</f>
        <v>2</v>
      </c>
      <c r="B25" s="1" t="e">
        <f>IF(OR(Table1[[#This Row],[Type (TX, RX, TRX, Oscillator)]]="TX", Table1[[#This Row],[Type (TX, RX, TRX, Oscillator)]]="TX FE"),A25,#N/A)</f>
        <v>#N/A</v>
      </c>
      <c r="C25" s="1" t="e">
        <f>IF(OR(Table1[[#This Row],[Type (TX, RX, TRX, Oscillator)]]="RX", Table1[[#This Row],[Type (TX, RX, TRX, Oscillator)]]="RX FE"),A25,#N/A)</f>
        <v>#N/A</v>
      </c>
      <c r="D25" s="1" t="e">
        <f>IF(OR(Table1[[#This Row],[Type (TX, RX, TRX, Oscillator)]]="TRX",Table1[[#This Row],[Type (TX, RX, TRX, Oscillator)]]="TRX FE"),A25,#N/A)</f>
        <v>#N/A</v>
      </c>
      <c r="E25" s="1">
        <f>IF(Table1[[#This Row],[Type (TX, RX, TRX, Oscillator)]]="Oscillator",A25,#N/A)</f>
        <v>2</v>
      </c>
      <c r="F25" s="1" t="e">
        <f>IF(Table1[[#This Row],[Type (TX, RX, TRX, Oscillator)]]="Relay",A25,#N/A)</f>
        <v>#N/A</v>
      </c>
      <c r="H25" s="1">
        <f>IF(Table1[[#This Row],[Process (CMOS_Bulk, CMOS_SOI, CMOS_FinFET, SiGe)]]&lt;&gt;"",Table1[[#This Row],[TX '# of Polarization]]+Table1[[#This Row],[RX '# of Polarization]],#N/A)</f>
        <v>2</v>
      </c>
      <c r="I25" s="1" t="e">
        <f>IF(OR(Table1[[#This Row],[Type (TX, RX, TRX, Oscillator)]]="TX", Table1[[#This Row],[Type (TX, RX, TRX, Oscillator)]]="TX FE"),H25,#N/A)</f>
        <v>#N/A</v>
      </c>
      <c r="J25" s="1" t="e">
        <f>IF(OR(Table1[[#This Row],[Type (TX, RX, TRX, Oscillator)]]="RX", Table1[[#This Row],[Type (TX, RX, TRX, Oscillator)]]="RX FE"),H25,#N/A)</f>
        <v>#N/A</v>
      </c>
      <c r="K25" s="1" t="e">
        <f>IF(OR(Table1[[#This Row],[Type (TX, RX, TRX, Oscillator)]]="TRX",Table1[[#This Row],[Type (TX, RX, TRX, Oscillator)]]="TRX FE"),H25,#N/A)</f>
        <v>#N/A</v>
      </c>
      <c r="L25" s="1">
        <f>IF(Table1[[#This Row],[Type (TX, RX, TRX, Oscillator)]]="Oscillator",H25,#N/A)</f>
        <v>2</v>
      </c>
      <c r="M25" s="1" t="e">
        <f>IF(Table1[[#This Row],[Type (TX, RX, TRX, Oscillator)]]="Relay",H25,#N/A)</f>
        <v>#N/A</v>
      </c>
    </row>
    <row r="26" spans="1:13" x14ac:dyDescent="0.2">
      <c r="A26" s="1">
        <f>IF(OR(Table1[[#This Row],['# of TX Element per IC]]&lt;&gt;"",Table1[[#This Row],['# of RX Element per IC]]&lt;&gt;""),Table1[[#This Row],['# of TX Element per IC]]+Table1[[#This Row],['# of RX Element per IC]],#N/A)</f>
        <v>2</v>
      </c>
      <c r="B26" s="1" t="e">
        <f>IF(OR(Table1[[#This Row],[Type (TX, RX, TRX, Oscillator)]]="TX", Table1[[#This Row],[Type (TX, RX, TRX, Oscillator)]]="TX FE"),A26,#N/A)</f>
        <v>#N/A</v>
      </c>
      <c r="C26" s="1" t="e">
        <f>IF(OR(Table1[[#This Row],[Type (TX, RX, TRX, Oscillator)]]="RX", Table1[[#This Row],[Type (TX, RX, TRX, Oscillator)]]="RX FE"),A26,#N/A)</f>
        <v>#N/A</v>
      </c>
      <c r="D26" s="1">
        <f>IF(OR(Table1[[#This Row],[Type (TX, RX, TRX, Oscillator)]]="TRX",Table1[[#This Row],[Type (TX, RX, TRX, Oscillator)]]="TRX FE"),A26,#N/A)</f>
        <v>2</v>
      </c>
      <c r="E26" s="1" t="e">
        <f>IF(Table1[[#This Row],[Type (TX, RX, TRX, Oscillator)]]="Oscillator",A26,#N/A)</f>
        <v>#N/A</v>
      </c>
      <c r="F26" s="1" t="e">
        <f>IF(Table1[[#This Row],[Type (TX, RX, TRX, Oscillator)]]="Relay",A26,#N/A)</f>
        <v>#N/A</v>
      </c>
      <c r="H26" s="1">
        <f>IF(Table1[[#This Row],[Process (CMOS_Bulk, CMOS_SOI, CMOS_FinFET, SiGe)]]&lt;&gt;"",Table1[[#This Row],[TX '# of Polarization]]+Table1[[#This Row],[RX '# of Polarization]],#N/A)</f>
        <v>2</v>
      </c>
      <c r="I26" s="1" t="e">
        <f>IF(OR(Table1[[#This Row],[Type (TX, RX, TRX, Oscillator)]]="TX", Table1[[#This Row],[Type (TX, RX, TRX, Oscillator)]]="TX FE"),H26,#N/A)</f>
        <v>#N/A</v>
      </c>
      <c r="J26" s="1" t="e">
        <f>IF(OR(Table1[[#This Row],[Type (TX, RX, TRX, Oscillator)]]="RX", Table1[[#This Row],[Type (TX, RX, TRX, Oscillator)]]="RX FE"),H26,#N/A)</f>
        <v>#N/A</v>
      </c>
      <c r="K26" s="1">
        <f>IF(OR(Table1[[#This Row],[Type (TX, RX, TRX, Oscillator)]]="TRX",Table1[[#This Row],[Type (TX, RX, TRX, Oscillator)]]="TRX FE"),H26,#N/A)</f>
        <v>2</v>
      </c>
      <c r="L26" s="1" t="e">
        <f>IF(Table1[[#This Row],[Type (TX, RX, TRX, Oscillator)]]="Oscillator",H26,#N/A)</f>
        <v>#N/A</v>
      </c>
      <c r="M26" s="1" t="e">
        <f>IF(Table1[[#This Row],[Type (TX, RX, TRX, Oscillator)]]="Relay",H26,#N/A)</f>
        <v>#N/A</v>
      </c>
    </row>
    <row r="27" spans="1:13" x14ac:dyDescent="0.2">
      <c r="A27" s="1">
        <f>IF(OR(Table1[[#This Row],['# of TX Element per IC]]&lt;&gt;"",Table1[[#This Row],['# of RX Element per IC]]&lt;&gt;""),Table1[[#This Row],['# of TX Element per IC]]+Table1[[#This Row],['# of RX Element per IC]],#N/A)</f>
        <v>2</v>
      </c>
      <c r="B27" s="1" t="e">
        <f>IF(OR(Table1[[#This Row],[Type (TX, RX, TRX, Oscillator)]]="TX", Table1[[#This Row],[Type (TX, RX, TRX, Oscillator)]]="TX FE"),A27,#N/A)</f>
        <v>#N/A</v>
      </c>
      <c r="C27" s="1" t="e">
        <f>IF(OR(Table1[[#This Row],[Type (TX, RX, TRX, Oscillator)]]="RX", Table1[[#This Row],[Type (TX, RX, TRX, Oscillator)]]="RX FE"),A27,#N/A)</f>
        <v>#N/A</v>
      </c>
      <c r="D27" s="1">
        <f>IF(OR(Table1[[#This Row],[Type (TX, RX, TRX, Oscillator)]]="TRX",Table1[[#This Row],[Type (TX, RX, TRX, Oscillator)]]="TRX FE"),A27,#N/A)</f>
        <v>2</v>
      </c>
      <c r="E27" s="1" t="e">
        <f>IF(Table1[[#This Row],[Type (TX, RX, TRX, Oscillator)]]="Oscillator",A27,#N/A)</f>
        <v>#N/A</v>
      </c>
      <c r="F27" s="1" t="e">
        <f>IF(Table1[[#This Row],[Type (TX, RX, TRX, Oscillator)]]="Relay",A27,#N/A)</f>
        <v>#N/A</v>
      </c>
      <c r="H27" s="1">
        <f>IF(Table1[[#This Row],[Process (CMOS_Bulk, CMOS_SOI, CMOS_FinFET, SiGe)]]&lt;&gt;"",Table1[[#This Row],[TX '# of Polarization]]+Table1[[#This Row],[RX '# of Polarization]],#N/A)</f>
        <v>2</v>
      </c>
      <c r="I27" s="1" t="e">
        <f>IF(OR(Table1[[#This Row],[Type (TX, RX, TRX, Oscillator)]]="TX", Table1[[#This Row],[Type (TX, RX, TRX, Oscillator)]]="TX FE"),H27,#N/A)</f>
        <v>#N/A</v>
      </c>
      <c r="J27" s="1" t="e">
        <f>IF(OR(Table1[[#This Row],[Type (TX, RX, TRX, Oscillator)]]="RX", Table1[[#This Row],[Type (TX, RX, TRX, Oscillator)]]="RX FE"),H27,#N/A)</f>
        <v>#N/A</v>
      </c>
      <c r="K27" s="1">
        <f>IF(OR(Table1[[#This Row],[Type (TX, RX, TRX, Oscillator)]]="TRX",Table1[[#This Row],[Type (TX, RX, TRX, Oscillator)]]="TRX FE"),H27,#N/A)</f>
        <v>2</v>
      </c>
      <c r="L27" s="1" t="e">
        <f>IF(Table1[[#This Row],[Type (TX, RX, TRX, Oscillator)]]="Oscillator",H27,#N/A)</f>
        <v>#N/A</v>
      </c>
      <c r="M27" s="1" t="e">
        <f>IF(Table1[[#This Row],[Type (TX, RX, TRX, Oscillator)]]="Relay",H27,#N/A)</f>
        <v>#N/A</v>
      </c>
    </row>
    <row r="28" spans="1:13" x14ac:dyDescent="0.2">
      <c r="A28" s="1">
        <f>IF(OR(Table1[[#This Row],['# of TX Element per IC]]&lt;&gt;"",Table1[[#This Row],['# of RX Element per IC]]&lt;&gt;""),Table1[[#This Row],['# of TX Element per IC]]+Table1[[#This Row],['# of RX Element per IC]],#N/A)</f>
        <v>8</v>
      </c>
      <c r="B28" s="1" t="e">
        <f>IF(OR(Table1[[#This Row],[Type (TX, RX, TRX, Oscillator)]]="TX", Table1[[#This Row],[Type (TX, RX, TRX, Oscillator)]]="TX FE"),A28,#N/A)</f>
        <v>#N/A</v>
      </c>
      <c r="C28" s="1">
        <f>IF(OR(Table1[[#This Row],[Type (TX, RX, TRX, Oscillator)]]="RX", Table1[[#This Row],[Type (TX, RX, TRX, Oscillator)]]="RX FE"),A28,#N/A)</f>
        <v>8</v>
      </c>
      <c r="D28" s="1" t="e">
        <f>IF(OR(Table1[[#This Row],[Type (TX, RX, TRX, Oscillator)]]="TRX",Table1[[#This Row],[Type (TX, RX, TRX, Oscillator)]]="TRX FE"),A28,#N/A)</f>
        <v>#N/A</v>
      </c>
      <c r="E28" s="1" t="e">
        <f>IF(Table1[[#This Row],[Type (TX, RX, TRX, Oscillator)]]="Oscillator",A28,#N/A)</f>
        <v>#N/A</v>
      </c>
      <c r="F28" s="1" t="e">
        <f>IF(Table1[[#This Row],[Type (TX, RX, TRX, Oscillator)]]="Relay",A28,#N/A)</f>
        <v>#N/A</v>
      </c>
      <c r="H28" s="1">
        <f>IF(Table1[[#This Row],[Process (CMOS_Bulk, CMOS_SOI, CMOS_FinFET, SiGe)]]&lt;&gt;"",Table1[[#This Row],[TX '# of Polarization]]+Table1[[#This Row],[RX '# of Polarization]],#N/A)</f>
        <v>1</v>
      </c>
      <c r="I28" s="1" t="e">
        <f>IF(OR(Table1[[#This Row],[Type (TX, RX, TRX, Oscillator)]]="TX", Table1[[#This Row],[Type (TX, RX, TRX, Oscillator)]]="TX FE"),H28,#N/A)</f>
        <v>#N/A</v>
      </c>
      <c r="J28" s="1">
        <f>IF(OR(Table1[[#This Row],[Type (TX, RX, TRX, Oscillator)]]="RX", Table1[[#This Row],[Type (TX, RX, TRX, Oscillator)]]="RX FE"),H28,#N/A)</f>
        <v>1</v>
      </c>
      <c r="K28" s="1" t="e">
        <f>IF(OR(Table1[[#This Row],[Type (TX, RX, TRX, Oscillator)]]="TRX",Table1[[#This Row],[Type (TX, RX, TRX, Oscillator)]]="TRX FE"),H28,#N/A)</f>
        <v>#N/A</v>
      </c>
      <c r="L28" s="1" t="e">
        <f>IF(Table1[[#This Row],[Type (TX, RX, TRX, Oscillator)]]="Oscillator",H28,#N/A)</f>
        <v>#N/A</v>
      </c>
      <c r="M28" s="1" t="e">
        <f>IF(Table1[[#This Row],[Type (TX, RX, TRX, Oscillator)]]="Relay",H28,#N/A)</f>
        <v>#N/A</v>
      </c>
    </row>
    <row r="29" spans="1:13" x14ac:dyDescent="0.2">
      <c r="A29" s="1">
        <f>IF(OR(Table1[[#This Row],['# of TX Element per IC]]&lt;&gt;"",Table1[[#This Row],['# of RX Element per IC]]&lt;&gt;""),Table1[[#This Row],['# of TX Element per IC]]+Table1[[#This Row],['# of RX Element per IC]],#N/A)</f>
        <v>8</v>
      </c>
      <c r="B29" s="1" t="e">
        <f>IF(OR(Table1[[#This Row],[Type (TX, RX, TRX, Oscillator)]]="TX", Table1[[#This Row],[Type (TX, RX, TRX, Oscillator)]]="TX FE"),A29,#N/A)</f>
        <v>#N/A</v>
      </c>
      <c r="C29" s="1">
        <f>IF(OR(Table1[[#This Row],[Type (TX, RX, TRX, Oscillator)]]="RX", Table1[[#This Row],[Type (TX, RX, TRX, Oscillator)]]="RX FE"),A29,#N/A)</f>
        <v>8</v>
      </c>
      <c r="D29" s="1" t="e">
        <f>IF(OR(Table1[[#This Row],[Type (TX, RX, TRX, Oscillator)]]="TRX",Table1[[#This Row],[Type (TX, RX, TRX, Oscillator)]]="TRX FE"),A29,#N/A)</f>
        <v>#N/A</v>
      </c>
      <c r="E29" s="1" t="e">
        <f>IF(Table1[[#This Row],[Type (TX, RX, TRX, Oscillator)]]="Oscillator",A29,#N/A)</f>
        <v>#N/A</v>
      </c>
      <c r="F29" s="1" t="e">
        <f>IF(Table1[[#This Row],[Type (TX, RX, TRX, Oscillator)]]="Relay",A29,#N/A)</f>
        <v>#N/A</v>
      </c>
      <c r="H29" s="1">
        <f>IF(Table1[[#This Row],[Process (CMOS_Bulk, CMOS_SOI, CMOS_FinFET, SiGe)]]&lt;&gt;"",Table1[[#This Row],[TX '# of Polarization]]+Table1[[#This Row],[RX '# of Polarization]],#N/A)</f>
        <v>1</v>
      </c>
      <c r="I29" s="1" t="e">
        <f>IF(OR(Table1[[#This Row],[Type (TX, RX, TRX, Oscillator)]]="TX", Table1[[#This Row],[Type (TX, RX, TRX, Oscillator)]]="TX FE"),H29,#N/A)</f>
        <v>#N/A</v>
      </c>
      <c r="J29" s="1">
        <f>IF(OR(Table1[[#This Row],[Type (TX, RX, TRX, Oscillator)]]="RX", Table1[[#This Row],[Type (TX, RX, TRX, Oscillator)]]="RX FE"),H29,#N/A)</f>
        <v>1</v>
      </c>
      <c r="K29" s="1" t="e">
        <f>IF(OR(Table1[[#This Row],[Type (TX, RX, TRX, Oscillator)]]="TRX",Table1[[#This Row],[Type (TX, RX, TRX, Oscillator)]]="TRX FE"),H29,#N/A)</f>
        <v>#N/A</v>
      </c>
      <c r="L29" s="1" t="e">
        <f>IF(Table1[[#This Row],[Type (TX, RX, TRX, Oscillator)]]="Oscillator",H29,#N/A)</f>
        <v>#N/A</v>
      </c>
      <c r="M29" s="1" t="e">
        <f>IF(Table1[[#This Row],[Type (TX, RX, TRX, Oscillator)]]="Relay",H29,#N/A)</f>
        <v>#N/A</v>
      </c>
    </row>
    <row r="30" spans="1:13" x14ac:dyDescent="0.2">
      <c r="A30" s="1">
        <f>IF(OR(Table1[[#This Row],['# of TX Element per IC]]&lt;&gt;"",Table1[[#This Row],['# of RX Element per IC]]&lt;&gt;""),Table1[[#This Row],['# of TX Element per IC]]+Table1[[#This Row],['# of RX Element per IC]],#N/A)</f>
        <v>24</v>
      </c>
      <c r="B30" s="1" t="e">
        <f>IF(OR(Table1[[#This Row],[Type (TX, RX, TRX, Oscillator)]]="TX", Table1[[#This Row],[Type (TX, RX, TRX, Oscillator)]]="TX FE"),A30,#N/A)</f>
        <v>#N/A</v>
      </c>
      <c r="C30" s="1" t="e">
        <f>IF(OR(Table1[[#This Row],[Type (TX, RX, TRX, Oscillator)]]="RX", Table1[[#This Row],[Type (TX, RX, TRX, Oscillator)]]="RX FE"),A30,#N/A)</f>
        <v>#N/A</v>
      </c>
      <c r="D30" s="1">
        <f>IF(OR(Table1[[#This Row],[Type (TX, RX, TRX, Oscillator)]]="TRX",Table1[[#This Row],[Type (TX, RX, TRX, Oscillator)]]="TRX FE"),A30,#N/A)</f>
        <v>24</v>
      </c>
      <c r="E30" s="1" t="e">
        <f>IF(Table1[[#This Row],[Type (TX, RX, TRX, Oscillator)]]="Oscillator",A30,#N/A)</f>
        <v>#N/A</v>
      </c>
      <c r="F30" s="1" t="e">
        <f>IF(Table1[[#This Row],[Type (TX, RX, TRX, Oscillator)]]="Relay",A30,#N/A)</f>
        <v>#N/A</v>
      </c>
      <c r="H30" s="1">
        <f>IF(Table1[[#This Row],[Process (CMOS_Bulk, CMOS_SOI, CMOS_FinFET, SiGe)]]&lt;&gt;"",Table1[[#This Row],[TX '# of Polarization]]+Table1[[#This Row],[RX '# of Polarization]],#N/A)</f>
        <v>4</v>
      </c>
      <c r="I30" s="1" t="e">
        <f>IF(OR(Table1[[#This Row],[Type (TX, RX, TRX, Oscillator)]]="TX", Table1[[#This Row],[Type (TX, RX, TRX, Oscillator)]]="TX FE"),H30,#N/A)</f>
        <v>#N/A</v>
      </c>
      <c r="J30" s="1" t="e">
        <f>IF(OR(Table1[[#This Row],[Type (TX, RX, TRX, Oscillator)]]="RX", Table1[[#This Row],[Type (TX, RX, TRX, Oscillator)]]="RX FE"),H30,#N/A)</f>
        <v>#N/A</v>
      </c>
      <c r="K30" s="1">
        <f>IF(OR(Table1[[#This Row],[Type (TX, RX, TRX, Oscillator)]]="TRX",Table1[[#This Row],[Type (TX, RX, TRX, Oscillator)]]="TRX FE"),H30,#N/A)</f>
        <v>4</v>
      </c>
      <c r="L30" s="1" t="e">
        <f>IF(Table1[[#This Row],[Type (TX, RX, TRX, Oscillator)]]="Oscillator",H30,#N/A)</f>
        <v>#N/A</v>
      </c>
      <c r="M30" s="1" t="e">
        <f>IF(Table1[[#This Row],[Type (TX, RX, TRX, Oscillator)]]="Relay",H30,#N/A)</f>
        <v>#N/A</v>
      </c>
    </row>
    <row r="31" spans="1:13" x14ac:dyDescent="0.2">
      <c r="A31" s="1">
        <f>IF(OR(Table1[[#This Row],['# of TX Element per IC]]&lt;&gt;"",Table1[[#This Row],['# of RX Element per IC]]&lt;&gt;""),Table1[[#This Row],['# of TX Element per IC]]+Table1[[#This Row],['# of RX Element per IC]],#N/A)</f>
        <v>24</v>
      </c>
      <c r="B31" s="1" t="e">
        <f>IF(OR(Table1[[#This Row],[Type (TX, RX, TRX, Oscillator)]]="TX", Table1[[#This Row],[Type (TX, RX, TRX, Oscillator)]]="TX FE"),A31,#N/A)</f>
        <v>#N/A</v>
      </c>
      <c r="C31" s="1" t="e">
        <f>IF(OR(Table1[[#This Row],[Type (TX, RX, TRX, Oscillator)]]="RX", Table1[[#This Row],[Type (TX, RX, TRX, Oscillator)]]="RX FE"),A31,#N/A)</f>
        <v>#N/A</v>
      </c>
      <c r="D31" s="1">
        <f>IF(OR(Table1[[#This Row],[Type (TX, RX, TRX, Oscillator)]]="TRX",Table1[[#This Row],[Type (TX, RX, TRX, Oscillator)]]="TRX FE"),A31,#N/A)</f>
        <v>24</v>
      </c>
      <c r="E31" s="1" t="e">
        <f>IF(Table1[[#This Row],[Type (TX, RX, TRX, Oscillator)]]="Oscillator",A31,#N/A)</f>
        <v>#N/A</v>
      </c>
      <c r="F31" s="1" t="e">
        <f>IF(Table1[[#This Row],[Type (TX, RX, TRX, Oscillator)]]="Relay",A31,#N/A)</f>
        <v>#N/A</v>
      </c>
      <c r="H31" s="1">
        <f>IF(Table1[[#This Row],[Process (CMOS_Bulk, CMOS_SOI, CMOS_FinFET, SiGe)]]&lt;&gt;"",Table1[[#This Row],[TX '# of Polarization]]+Table1[[#This Row],[RX '# of Polarization]],#N/A)</f>
        <v>2</v>
      </c>
      <c r="I31" s="1" t="e">
        <f>IF(OR(Table1[[#This Row],[Type (TX, RX, TRX, Oscillator)]]="TX", Table1[[#This Row],[Type (TX, RX, TRX, Oscillator)]]="TX FE"),H31,#N/A)</f>
        <v>#N/A</v>
      </c>
      <c r="J31" s="1" t="e">
        <f>IF(OR(Table1[[#This Row],[Type (TX, RX, TRX, Oscillator)]]="RX", Table1[[#This Row],[Type (TX, RX, TRX, Oscillator)]]="RX FE"),H31,#N/A)</f>
        <v>#N/A</v>
      </c>
      <c r="K31" s="1">
        <f>IF(OR(Table1[[#This Row],[Type (TX, RX, TRX, Oscillator)]]="TRX",Table1[[#This Row],[Type (TX, RX, TRX, Oscillator)]]="TRX FE"),H31,#N/A)</f>
        <v>2</v>
      </c>
      <c r="L31" s="1" t="e">
        <f>IF(Table1[[#This Row],[Type (TX, RX, TRX, Oscillator)]]="Oscillator",H31,#N/A)</f>
        <v>#N/A</v>
      </c>
      <c r="M31" s="1" t="e">
        <f>IF(Table1[[#This Row],[Type (TX, RX, TRX, Oscillator)]]="Relay",H31,#N/A)</f>
        <v>#N/A</v>
      </c>
    </row>
    <row r="32" spans="1:13" x14ac:dyDescent="0.2">
      <c r="A32" s="1">
        <f>IF(OR(Table1[[#This Row],['# of TX Element per IC]]&lt;&gt;"",Table1[[#This Row],['# of RX Element per IC]]&lt;&gt;""),Table1[[#This Row],['# of TX Element per IC]]+Table1[[#This Row],['# of RX Element per IC]],#N/A)</f>
        <v>24</v>
      </c>
      <c r="B32" s="1" t="e">
        <f>IF(OR(Table1[[#This Row],[Type (TX, RX, TRX, Oscillator)]]="TX", Table1[[#This Row],[Type (TX, RX, TRX, Oscillator)]]="TX FE"),A32,#N/A)</f>
        <v>#N/A</v>
      </c>
      <c r="C32" s="1" t="e">
        <f>IF(OR(Table1[[#This Row],[Type (TX, RX, TRX, Oscillator)]]="RX", Table1[[#This Row],[Type (TX, RX, TRX, Oscillator)]]="RX FE"),A32,#N/A)</f>
        <v>#N/A</v>
      </c>
      <c r="D32" s="1">
        <f>IF(OR(Table1[[#This Row],[Type (TX, RX, TRX, Oscillator)]]="TRX",Table1[[#This Row],[Type (TX, RX, TRX, Oscillator)]]="TRX FE"),A32,#N/A)</f>
        <v>24</v>
      </c>
      <c r="E32" s="1" t="e">
        <f>IF(Table1[[#This Row],[Type (TX, RX, TRX, Oscillator)]]="Oscillator",A32,#N/A)</f>
        <v>#N/A</v>
      </c>
      <c r="F32" s="1" t="e">
        <f>IF(Table1[[#This Row],[Type (TX, RX, TRX, Oscillator)]]="Relay",A32,#N/A)</f>
        <v>#N/A</v>
      </c>
      <c r="H32" s="1">
        <f>IF(Table1[[#This Row],[Process (CMOS_Bulk, CMOS_SOI, CMOS_FinFET, SiGe)]]&lt;&gt;"",Table1[[#This Row],[TX '# of Polarization]]+Table1[[#This Row],[RX '# of Polarization]],#N/A)</f>
        <v>2</v>
      </c>
      <c r="I32" s="1" t="e">
        <f>IF(OR(Table1[[#This Row],[Type (TX, RX, TRX, Oscillator)]]="TX", Table1[[#This Row],[Type (TX, RX, TRX, Oscillator)]]="TX FE"),H32,#N/A)</f>
        <v>#N/A</v>
      </c>
      <c r="J32" s="1" t="e">
        <f>IF(OR(Table1[[#This Row],[Type (TX, RX, TRX, Oscillator)]]="RX", Table1[[#This Row],[Type (TX, RX, TRX, Oscillator)]]="RX FE"),H32,#N/A)</f>
        <v>#N/A</v>
      </c>
      <c r="K32" s="1">
        <f>IF(OR(Table1[[#This Row],[Type (TX, RX, TRX, Oscillator)]]="TRX",Table1[[#This Row],[Type (TX, RX, TRX, Oscillator)]]="TRX FE"),H32,#N/A)</f>
        <v>2</v>
      </c>
      <c r="L32" s="1" t="e">
        <f>IF(Table1[[#This Row],[Type (TX, RX, TRX, Oscillator)]]="Oscillator",H32,#N/A)</f>
        <v>#N/A</v>
      </c>
      <c r="M32" s="1" t="e">
        <f>IF(Table1[[#This Row],[Type (TX, RX, TRX, Oscillator)]]="Relay",H32,#N/A)</f>
        <v>#N/A</v>
      </c>
    </row>
    <row r="33" spans="1:13" x14ac:dyDescent="0.2">
      <c r="A33" s="1">
        <f>IF(OR(Table1[[#This Row],['# of TX Element per IC]]&lt;&gt;"",Table1[[#This Row],['# of RX Element per IC]]&lt;&gt;""),Table1[[#This Row],['# of TX Element per IC]]+Table1[[#This Row],['# of RX Element per IC]],#N/A)</f>
        <v>24</v>
      </c>
      <c r="B33" s="1" t="e">
        <f>IF(OR(Table1[[#This Row],[Type (TX, RX, TRX, Oscillator)]]="TX", Table1[[#This Row],[Type (TX, RX, TRX, Oscillator)]]="TX FE"),A33,#N/A)</f>
        <v>#N/A</v>
      </c>
      <c r="C33" s="1" t="e">
        <f>IF(OR(Table1[[#This Row],[Type (TX, RX, TRX, Oscillator)]]="RX", Table1[[#This Row],[Type (TX, RX, TRX, Oscillator)]]="RX FE"),A33,#N/A)</f>
        <v>#N/A</v>
      </c>
      <c r="D33" s="1">
        <f>IF(OR(Table1[[#This Row],[Type (TX, RX, TRX, Oscillator)]]="TRX",Table1[[#This Row],[Type (TX, RX, TRX, Oscillator)]]="TRX FE"),A33,#N/A)</f>
        <v>24</v>
      </c>
      <c r="E33" s="1" t="e">
        <f>IF(Table1[[#This Row],[Type (TX, RX, TRX, Oscillator)]]="Oscillator",A33,#N/A)</f>
        <v>#N/A</v>
      </c>
      <c r="F33" s="1" t="e">
        <f>IF(Table1[[#This Row],[Type (TX, RX, TRX, Oscillator)]]="Relay",A33,#N/A)</f>
        <v>#N/A</v>
      </c>
      <c r="H33" s="1">
        <f>IF(Table1[[#This Row],[Process (CMOS_Bulk, CMOS_SOI, CMOS_FinFET, SiGe)]]&lt;&gt;"",Table1[[#This Row],[TX '# of Polarization]]+Table1[[#This Row],[RX '# of Polarization]],#N/A)</f>
        <v>2</v>
      </c>
      <c r="I33" s="1" t="e">
        <f>IF(OR(Table1[[#This Row],[Type (TX, RX, TRX, Oscillator)]]="TX", Table1[[#This Row],[Type (TX, RX, TRX, Oscillator)]]="TX FE"),H33,#N/A)</f>
        <v>#N/A</v>
      </c>
      <c r="J33" s="1" t="e">
        <f>IF(OR(Table1[[#This Row],[Type (TX, RX, TRX, Oscillator)]]="RX", Table1[[#This Row],[Type (TX, RX, TRX, Oscillator)]]="RX FE"),H33,#N/A)</f>
        <v>#N/A</v>
      </c>
      <c r="K33" s="1">
        <f>IF(OR(Table1[[#This Row],[Type (TX, RX, TRX, Oscillator)]]="TRX",Table1[[#This Row],[Type (TX, RX, TRX, Oscillator)]]="TRX FE"),H33,#N/A)</f>
        <v>2</v>
      </c>
      <c r="L33" s="1" t="e">
        <f>IF(Table1[[#This Row],[Type (TX, RX, TRX, Oscillator)]]="Oscillator",H33,#N/A)</f>
        <v>#N/A</v>
      </c>
      <c r="M33" s="1" t="e">
        <f>IF(Table1[[#This Row],[Type (TX, RX, TRX, Oscillator)]]="Relay",H33,#N/A)</f>
        <v>#N/A</v>
      </c>
    </row>
    <row r="34" spans="1:13" x14ac:dyDescent="0.2">
      <c r="A34" s="1" t="e">
        <f>IF(OR(Table1[[#This Row],['# of TX Element per IC]]&lt;&gt;"",Table1[[#This Row],['# of RX Element per IC]]&lt;&gt;""),Table1[[#This Row],['# of TX Element per IC]]+Table1[[#This Row],['# of RX Element per IC]],#N/A)</f>
        <v>#N/A</v>
      </c>
      <c r="B34" s="1" t="e">
        <f>IF(OR(Table1[[#This Row],[Type (TX, RX, TRX, Oscillator)]]="TX", Table1[[#This Row],[Type (TX, RX, TRX, Oscillator)]]="TX FE"),A34,#N/A)</f>
        <v>#N/A</v>
      </c>
      <c r="C34" s="1" t="e">
        <f>IF(OR(Table1[[#This Row],[Type (TX, RX, TRX, Oscillator)]]="RX", Table1[[#This Row],[Type (TX, RX, TRX, Oscillator)]]="RX FE"),A34,#N/A)</f>
        <v>#N/A</v>
      </c>
      <c r="D34" s="1" t="e">
        <f>IF(OR(Table1[[#This Row],[Type (TX, RX, TRX, Oscillator)]]="TRX",Table1[[#This Row],[Type (TX, RX, TRX, Oscillator)]]="TRX FE"),A34,#N/A)</f>
        <v>#N/A</v>
      </c>
      <c r="E34" s="1" t="e">
        <f>IF(Table1[[#This Row],[Type (TX, RX, TRX, Oscillator)]]="Oscillator",A34,#N/A)</f>
        <v>#N/A</v>
      </c>
      <c r="F34" s="1" t="e">
        <f>IF(Table1[[#This Row],[Type (TX, RX, TRX, Oscillator)]]="Relay",A34,#N/A)</f>
        <v>#N/A</v>
      </c>
      <c r="H34" s="1" t="e">
        <f>IF(Table1[[#This Row],[Process (CMOS_Bulk, CMOS_SOI, CMOS_FinFET, SiGe)]]&lt;&gt;"",Table1[[#This Row],[TX '# of Polarization]]+Table1[[#This Row],[RX '# of Polarization]],#N/A)</f>
        <v>#N/A</v>
      </c>
      <c r="I34" s="1" t="e">
        <f>IF(OR(Table1[[#This Row],[Type (TX, RX, TRX, Oscillator)]]="TX", Table1[[#This Row],[Type (TX, RX, TRX, Oscillator)]]="TX FE"),H34,#N/A)</f>
        <v>#N/A</v>
      </c>
      <c r="J34" s="1" t="e">
        <f>IF(OR(Table1[[#This Row],[Type (TX, RX, TRX, Oscillator)]]="RX", Table1[[#This Row],[Type (TX, RX, TRX, Oscillator)]]="RX FE"),H34,#N/A)</f>
        <v>#N/A</v>
      </c>
      <c r="K34" s="1" t="e">
        <f>IF(OR(Table1[[#This Row],[Type (TX, RX, TRX, Oscillator)]]="TRX",Table1[[#This Row],[Type (TX, RX, TRX, Oscillator)]]="TRX FE"),H34,#N/A)</f>
        <v>#N/A</v>
      </c>
      <c r="L34" s="1" t="e">
        <f>IF(Table1[[#This Row],[Type (TX, RX, TRX, Oscillator)]]="Oscillator",H34,#N/A)</f>
        <v>#N/A</v>
      </c>
      <c r="M34" s="1" t="e">
        <f>IF(Table1[[#This Row],[Type (TX, RX, TRX, Oscillator)]]="Relay",H34,#N/A)</f>
        <v>#N/A</v>
      </c>
    </row>
    <row r="35" spans="1:13" x14ac:dyDescent="0.2">
      <c r="A35" s="1">
        <f>IF(OR(Table1[[#This Row],['# of TX Element per IC]]&lt;&gt;"",Table1[[#This Row],['# of RX Element per IC]]&lt;&gt;""),Table1[[#This Row],['# of TX Element per IC]]+Table1[[#This Row],['# of RX Element per IC]],#N/A)</f>
        <v>8</v>
      </c>
      <c r="B35" s="1" t="e">
        <f>IF(OR(Table1[[#This Row],[Type (TX, RX, TRX, Oscillator)]]="TX", Table1[[#This Row],[Type (TX, RX, TRX, Oscillator)]]="TX FE"),A35,#N/A)</f>
        <v>#N/A</v>
      </c>
      <c r="C35" s="1" t="e">
        <f>IF(OR(Table1[[#This Row],[Type (TX, RX, TRX, Oscillator)]]="RX", Table1[[#This Row],[Type (TX, RX, TRX, Oscillator)]]="RX FE"),A35,#N/A)</f>
        <v>#N/A</v>
      </c>
      <c r="D35" s="1">
        <f>IF(OR(Table1[[#This Row],[Type (TX, RX, TRX, Oscillator)]]="TRX",Table1[[#This Row],[Type (TX, RX, TRX, Oscillator)]]="TRX FE"),A35,#N/A)</f>
        <v>8</v>
      </c>
      <c r="E35" s="1" t="e">
        <f>IF(Table1[[#This Row],[Type (TX, RX, TRX, Oscillator)]]="Oscillator",A35,#N/A)</f>
        <v>#N/A</v>
      </c>
      <c r="F35" s="1" t="e">
        <f>IF(Table1[[#This Row],[Type (TX, RX, TRX, Oscillator)]]="Relay",A35,#N/A)</f>
        <v>#N/A</v>
      </c>
      <c r="H35" s="1">
        <f>IF(Table1[[#This Row],[Process (CMOS_Bulk, CMOS_SOI, CMOS_FinFET, SiGe)]]&lt;&gt;"",Table1[[#This Row],[TX '# of Polarization]]+Table1[[#This Row],[RX '# of Polarization]],#N/A)</f>
        <v>2</v>
      </c>
      <c r="I35" s="1" t="e">
        <f>IF(OR(Table1[[#This Row],[Type (TX, RX, TRX, Oscillator)]]="TX", Table1[[#This Row],[Type (TX, RX, TRX, Oscillator)]]="TX FE"),H35,#N/A)</f>
        <v>#N/A</v>
      </c>
      <c r="J35" s="1" t="e">
        <f>IF(OR(Table1[[#This Row],[Type (TX, RX, TRX, Oscillator)]]="RX", Table1[[#This Row],[Type (TX, RX, TRX, Oscillator)]]="RX FE"),H35,#N/A)</f>
        <v>#N/A</v>
      </c>
      <c r="K35" s="1">
        <f>IF(OR(Table1[[#This Row],[Type (TX, RX, TRX, Oscillator)]]="TRX",Table1[[#This Row],[Type (TX, RX, TRX, Oscillator)]]="TRX FE"),H35,#N/A)</f>
        <v>2</v>
      </c>
      <c r="L35" s="1" t="e">
        <f>IF(Table1[[#This Row],[Type (TX, RX, TRX, Oscillator)]]="Oscillator",H35,#N/A)</f>
        <v>#N/A</v>
      </c>
      <c r="M35" s="1" t="e">
        <f>IF(Table1[[#This Row],[Type (TX, RX, TRX, Oscillator)]]="Relay",H35,#N/A)</f>
        <v>#N/A</v>
      </c>
    </row>
    <row r="36" spans="1:13" x14ac:dyDescent="0.2">
      <c r="A36" s="1">
        <f>IF(OR(Table1[[#This Row],['# of TX Element per IC]]&lt;&gt;"",Table1[[#This Row],['# of RX Element per IC]]&lt;&gt;""),Table1[[#This Row],['# of TX Element per IC]]+Table1[[#This Row],['# of RX Element per IC]],#N/A)</f>
        <v>16</v>
      </c>
      <c r="B36" s="1">
        <f>IF(OR(Table1[[#This Row],[Type (TX, RX, TRX, Oscillator)]]="TX", Table1[[#This Row],[Type (TX, RX, TRX, Oscillator)]]="TX FE"),A36,#N/A)</f>
        <v>16</v>
      </c>
      <c r="C36" s="1" t="e">
        <f>IF(OR(Table1[[#This Row],[Type (TX, RX, TRX, Oscillator)]]="RX", Table1[[#This Row],[Type (TX, RX, TRX, Oscillator)]]="RX FE"),A36,#N/A)</f>
        <v>#N/A</v>
      </c>
      <c r="D36" s="1" t="e">
        <f>IF(OR(Table1[[#This Row],[Type (TX, RX, TRX, Oscillator)]]="TRX",Table1[[#This Row],[Type (TX, RX, TRX, Oscillator)]]="TRX FE"),A36,#N/A)</f>
        <v>#N/A</v>
      </c>
      <c r="E36" s="1" t="e">
        <f>IF(Table1[[#This Row],[Type (TX, RX, TRX, Oscillator)]]="Oscillator",A36,#N/A)</f>
        <v>#N/A</v>
      </c>
      <c r="F36" s="1" t="e">
        <f>IF(Table1[[#This Row],[Type (TX, RX, TRX, Oscillator)]]="Relay",A36,#N/A)</f>
        <v>#N/A</v>
      </c>
      <c r="H36" s="1">
        <f>IF(Table1[[#This Row],[Process (CMOS_Bulk, CMOS_SOI, CMOS_FinFET, SiGe)]]&lt;&gt;"",Table1[[#This Row],[TX '# of Polarization]]+Table1[[#This Row],[RX '# of Polarization]],#N/A)</f>
        <v>1</v>
      </c>
      <c r="I36" s="1">
        <f>IF(OR(Table1[[#This Row],[Type (TX, RX, TRX, Oscillator)]]="TX", Table1[[#This Row],[Type (TX, RX, TRX, Oscillator)]]="TX FE"),H36,#N/A)</f>
        <v>1</v>
      </c>
      <c r="J36" s="1" t="e">
        <f>IF(OR(Table1[[#This Row],[Type (TX, RX, TRX, Oscillator)]]="RX", Table1[[#This Row],[Type (TX, RX, TRX, Oscillator)]]="RX FE"),H36,#N/A)</f>
        <v>#N/A</v>
      </c>
      <c r="K36" s="1" t="e">
        <f>IF(OR(Table1[[#This Row],[Type (TX, RX, TRX, Oscillator)]]="TRX",Table1[[#This Row],[Type (TX, RX, TRX, Oscillator)]]="TRX FE"),H36,#N/A)</f>
        <v>#N/A</v>
      </c>
      <c r="L36" s="1" t="e">
        <f>IF(Table1[[#This Row],[Type (TX, RX, TRX, Oscillator)]]="Oscillator",H36,#N/A)</f>
        <v>#N/A</v>
      </c>
      <c r="M36" s="1" t="e">
        <f>IF(Table1[[#This Row],[Type (TX, RX, TRX, Oscillator)]]="Relay",H36,#N/A)</f>
        <v>#N/A</v>
      </c>
    </row>
    <row r="37" spans="1:13" x14ac:dyDescent="0.2">
      <c r="A37" s="1">
        <f>IF(OR(Table1[[#This Row],['# of TX Element per IC]]&lt;&gt;"",Table1[[#This Row],['# of RX Element per IC]]&lt;&gt;""),Table1[[#This Row],['# of TX Element per IC]]+Table1[[#This Row],['# of RX Element per IC]],#N/A)</f>
        <v>16</v>
      </c>
      <c r="B37" s="1" t="e">
        <f>IF(OR(Table1[[#This Row],[Type (TX, RX, TRX, Oscillator)]]="TX", Table1[[#This Row],[Type (TX, RX, TRX, Oscillator)]]="TX FE"),A37,#N/A)</f>
        <v>#N/A</v>
      </c>
      <c r="C37" s="1">
        <f>IF(OR(Table1[[#This Row],[Type (TX, RX, TRX, Oscillator)]]="RX", Table1[[#This Row],[Type (TX, RX, TRX, Oscillator)]]="RX FE"),A37,#N/A)</f>
        <v>16</v>
      </c>
      <c r="D37" s="1" t="e">
        <f>IF(OR(Table1[[#This Row],[Type (TX, RX, TRX, Oscillator)]]="TRX",Table1[[#This Row],[Type (TX, RX, TRX, Oscillator)]]="TRX FE"),A37,#N/A)</f>
        <v>#N/A</v>
      </c>
      <c r="E37" s="1" t="e">
        <f>IF(Table1[[#This Row],[Type (TX, RX, TRX, Oscillator)]]="Oscillator",A37,#N/A)</f>
        <v>#N/A</v>
      </c>
      <c r="F37" s="1" t="e">
        <f>IF(Table1[[#This Row],[Type (TX, RX, TRX, Oscillator)]]="Relay",A37,#N/A)</f>
        <v>#N/A</v>
      </c>
      <c r="H37" s="1">
        <f>IF(Table1[[#This Row],[Process (CMOS_Bulk, CMOS_SOI, CMOS_FinFET, SiGe)]]&lt;&gt;"",Table1[[#This Row],[TX '# of Polarization]]+Table1[[#This Row],[RX '# of Polarization]],#N/A)</f>
        <v>2</v>
      </c>
      <c r="I37" s="1" t="e">
        <f>IF(OR(Table1[[#This Row],[Type (TX, RX, TRX, Oscillator)]]="TX", Table1[[#This Row],[Type (TX, RX, TRX, Oscillator)]]="TX FE"),H37,#N/A)</f>
        <v>#N/A</v>
      </c>
      <c r="J37" s="1">
        <f>IF(OR(Table1[[#This Row],[Type (TX, RX, TRX, Oscillator)]]="RX", Table1[[#This Row],[Type (TX, RX, TRX, Oscillator)]]="RX FE"),H37,#N/A)</f>
        <v>2</v>
      </c>
      <c r="K37" s="1" t="e">
        <f>IF(OR(Table1[[#This Row],[Type (TX, RX, TRX, Oscillator)]]="TRX",Table1[[#This Row],[Type (TX, RX, TRX, Oscillator)]]="TRX FE"),H37,#N/A)</f>
        <v>#N/A</v>
      </c>
      <c r="L37" s="1" t="e">
        <f>IF(Table1[[#This Row],[Type (TX, RX, TRX, Oscillator)]]="Oscillator",H37,#N/A)</f>
        <v>#N/A</v>
      </c>
      <c r="M37" s="1" t="e">
        <f>IF(Table1[[#This Row],[Type (TX, RX, TRX, Oscillator)]]="Relay",H37,#N/A)</f>
        <v>#N/A</v>
      </c>
    </row>
    <row r="38" spans="1:13" x14ac:dyDescent="0.2">
      <c r="A38" s="1" t="e">
        <f>IF(OR(Table1[[#This Row],['# of TX Element per IC]]&lt;&gt;"",Table1[[#This Row],['# of RX Element per IC]]&lt;&gt;""),Table1[[#This Row],['# of TX Element per IC]]+Table1[[#This Row],['# of RX Element per IC]],#N/A)</f>
        <v>#N/A</v>
      </c>
      <c r="B38" s="1" t="e">
        <f>IF(OR(Table1[[#This Row],[Type (TX, RX, TRX, Oscillator)]]="TX", Table1[[#This Row],[Type (TX, RX, TRX, Oscillator)]]="TX FE"),A38,#N/A)</f>
        <v>#N/A</v>
      </c>
      <c r="C38" s="1" t="e">
        <f>IF(OR(Table1[[#This Row],[Type (TX, RX, TRX, Oscillator)]]="RX", Table1[[#This Row],[Type (TX, RX, TRX, Oscillator)]]="RX FE"),A38,#N/A)</f>
        <v>#N/A</v>
      </c>
      <c r="D38" s="1" t="e">
        <f>IF(OR(Table1[[#This Row],[Type (TX, RX, TRX, Oscillator)]]="TRX",Table1[[#This Row],[Type (TX, RX, TRX, Oscillator)]]="TRX FE"),A38,#N/A)</f>
        <v>#N/A</v>
      </c>
      <c r="E38" s="1" t="e">
        <f>IF(Table1[[#This Row],[Type (TX, RX, TRX, Oscillator)]]="Oscillator",A38,#N/A)</f>
        <v>#N/A</v>
      </c>
      <c r="F38" s="1" t="e">
        <f>IF(Table1[[#This Row],[Type (TX, RX, TRX, Oscillator)]]="Relay",A38,#N/A)</f>
        <v>#N/A</v>
      </c>
      <c r="H38" s="1" t="e">
        <f>IF(Table1[[#This Row],[Process (CMOS_Bulk, CMOS_SOI, CMOS_FinFET, SiGe)]]&lt;&gt;"",Table1[[#This Row],[TX '# of Polarization]]+Table1[[#This Row],[RX '# of Polarization]],#N/A)</f>
        <v>#N/A</v>
      </c>
      <c r="I38" s="1" t="e">
        <f>IF(OR(Table1[[#This Row],[Type (TX, RX, TRX, Oscillator)]]="TX", Table1[[#This Row],[Type (TX, RX, TRX, Oscillator)]]="TX FE"),H38,#N/A)</f>
        <v>#N/A</v>
      </c>
      <c r="J38" s="1" t="e">
        <f>IF(OR(Table1[[#This Row],[Type (TX, RX, TRX, Oscillator)]]="RX", Table1[[#This Row],[Type (TX, RX, TRX, Oscillator)]]="RX FE"),H38,#N/A)</f>
        <v>#N/A</v>
      </c>
      <c r="K38" s="1" t="e">
        <f>IF(OR(Table1[[#This Row],[Type (TX, RX, TRX, Oscillator)]]="TRX",Table1[[#This Row],[Type (TX, RX, TRX, Oscillator)]]="TRX FE"),H38,#N/A)</f>
        <v>#N/A</v>
      </c>
      <c r="L38" s="1" t="e">
        <f>IF(Table1[[#This Row],[Type (TX, RX, TRX, Oscillator)]]="Oscillator",H38,#N/A)</f>
        <v>#N/A</v>
      </c>
      <c r="M38" s="1" t="e">
        <f>IF(Table1[[#This Row],[Type (TX, RX, TRX, Oscillator)]]="Relay",H38,#N/A)</f>
        <v>#N/A</v>
      </c>
    </row>
    <row r="39" spans="1:13" x14ac:dyDescent="0.2">
      <c r="A39" s="1">
        <f>IF(OR(Table1[[#This Row],['# of TX Element per IC]]&lt;&gt;"",Table1[[#This Row],['# of RX Element per IC]]&lt;&gt;""),Table1[[#This Row],['# of TX Element per IC]]+Table1[[#This Row],['# of RX Element per IC]],#N/A)</f>
        <v>2</v>
      </c>
      <c r="B39" s="1" t="e">
        <f>IF(OR(Table1[[#This Row],[Type (TX, RX, TRX, Oscillator)]]="TX", Table1[[#This Row],[Type (TX, RX, TRX, Oscillator)]]="TX FE"),A39,#N/A)</f>
        <v>#N/A</v>
      </c>
      <c r="C39" s="1" t="e">
        <f>IF(OR(Table1[[#This Row],[Type (TX, RX, TRX, Oscillator)]]="RX", Table1[[#This Row],[Type (TX, RX, TRX, Oscillator)]]="RX FE"),A39,#N/A)</f>
        <v>#N/A</v>
      </c>
      <c r="D39" s="1">
        <f>IF(OR(Table1[[#This Row],[Type (TX, RX, TRX, Oscillator)]]="TRX",Table1[[#This Row],[Type (TX, RX, TRX, Oscillator)]]="TRX FE"),A39,#N/A)</f>
        <v>2</v>
      </c>
      <c r="E39" s="1" t="e">
        <f>IF(Table1[[#This Row],[Type (TX, RX, TRX, Oscillator)]]="Oscillator",A39,#N/A)</f>
        <v>#N/A</v>
      </c>
      <c r="F39" s="1" t="e">
        <f>IF(Table1[[#This Row],[Type (TX, RX, TRX, Oscillator)]]="Relay",A39,#N/A)</f>
        <v>#N/A</v>
      </c>
      <c r="H39" s="1">
        <f>IF(Table1[[#This Row],[Process (CMOS_Bulk, CMOS_SOI, CMOS_FinFET, SiGe)]]&lt;&gt;"",Table1[[#This Row],[TX '# of Polarization]]+Table1[[#This Row],[RX '# of Polarization]],#N/A)</f>
        <v>2</v>
      </c>
      <c r="I39" s="1" t="e">
        <f>IF(OR(Table1[[#This Row],[Type (TX, RX, TRX, Oscillator)]]="TX", Table1[[#This Row],[Type (TX, RX, TRX, Oscillator)]]="TX FE"),H39,#N/A)</f>
        <v>#N/A</v>
      </c>
      <c r="J39" s="1" t="e">
        <f>IF(OR(Table1[[#This Row],[Type (TX, RX, TRX, Oscillator)]]="RX", Table1[[#This Row],[Type (TX, RX, TRX, Oscillator)]]="RX FE"),H39,#N/A)</f>
        <v>#N/A</v>
      </c>
      <c r="K39" s="1">
        <f>IF(OR(Table1[[#This Row],[Type (TX, RX, TRX, Oscillator)]]="TRX",Table1[[#This Row],[Type (TX, RX, TRX, Oscillator)]]="TRX FE"),H39,#N/A)</f>
        <v>2</v>
      </c>
      <c r="L39" s="1" t="e">
        <f>IF(Table1[[#This Row],[Type (TX, RX, TRX, Oscillator)]]="Oscillator",H39,#N/A)</f>
        <v>#N/A</v>
      </c>
      <c r="M39" s="1" t="e">
        <f>IF(Table1[[#This Row],[Type (TX, RX, TRX, Oscillator)]]="Relay",H39,#N/A)</f>
        <v>#N/A</v>
      </c>
    </row>
    <row r="40" spans="1:13" x14ac:dyDescent="0.2">
      <c r="A40" s="1">
        <f>IF(OR(Table1[[#This Row],['# of TX Element per IC]]&lt;&gt;"",Table1[[#This Row],['# of RX Element per IC]]&lt;&gt;""),Table1[[#This Row],['# of TX Element per IC]]+Table1[[#This Row],['# of RX Element per IC]],#N/A)</f>
        <v>4</v>
      </c>
      <c r="B40" s="1" t="e">
        <f>IF(OR(Table1[[#This Row],[Type (TX, RX, TRX, Oscillator)]]="TX", Table1[[#This Row],[Type (TX, RX, TRX, Oscillator)]]="TX FE"),A40,#N/A)</f>
        <v>#N/A</v>
      </c>
      <c r="C40" s="1">
        <f>IF(OR(Table1[[#This Row],[Type (TX, RX, TRX, Oscillator)]]="RX", Table1[[#This Row],[Type (TX, RX, TRX, Oscillator)]]="RX FE"),A40,#N/A)</f>
        <v>4</v>
      </c>
      <c r="D40" s="1" t="e">
        <f>IF(OR(Table1[[#This Row],[Type (TX, RX, TRX, Oscillator)]]="TRX",Table1[[#This Row],[Type (TX, RX, TRX, Oscillator)]]="TRX FE"),A40,#N/A)</f>
        <v>#N/A</v>
      </c>
      <c r="E40" s="1" t="e">
        <f>IF(Table1[[#This Row],[Type (TX, RX, TRX, Oscillator)]]="Oscillator",A40,#N/A)</f>
        <v>#N/A</v>
      </c>
      <c r="F40" s="1" t="e">
        <f>IF(Table1[[#This Row],[Type (TX, RX, TRX, Oscillator)]]="Relay",A40,#N/A)</f>
        <v>#N/A</v>
      </c>
      <c r="H40" s="1">
        <f>IF(Table1[[#This Row],[Process (CMOS_Bulk, CMOS_SOI, CMOS_FinFET, SiGe)]]&lt;&gt;"",Table1[[#This Row],[TX '# of Polarization]]+Table1[[#This Row],[RX '# of Polarization]],#N/A)</f>
        <v>1</v>
      </c>
      <c r="I40" s="1" t="e">
        <f>IF(OR(Table1[[#This Row],[Type (TX, RX, TRX, Oscillator)]]="TX", Table1[[#This Row],[Type (TX, RX, TRX, Oscillator)]]="TX FE"),H40,#N/A)</f>
        <v>#N/A</v>
      </c>
      <c r="J40" s="1">
        <f>IF(OR(Table1[[#This Row],[Type (TX, RX, TRX, Oscillator)]]="RX", Table1[[#This Row],[Type (TX, RX, TRX, Oscillator)]]="RX FE"),H40,#N/A)</f>
        <v>1</v>
      </c>
      <c r="K40" s="1" t="e">
        <f>IF(OR(Table1[[#This Row],[Type (TX, RX, TRX, Oscillator)]]="TRX",Table1[[#This Row],[Type (TX, RX, TRX, Oscillator)]]="TRX FE"),H40,#N/A)</f>
        <v>#N/A</v>
      </c>
      <c r="L40" s="1" t="e">
        <f>IF(Table1[[#This Row],[Type (TX, RX, TRX, Oscillator)]]="Oscillator",H40,#N/A)</f>
        <v>#N/A</v>
      </c>
      <c r="M40" s="1" t="e">
        <f>IF(Table1[[#This Row],[Type (TX, RX, TRX, Oscillator)]]="Relay",H40,#N/A)</f>
        <v>#N/A</v>
      </c>
    </row>
    <row r="41" spans="1:13" x14ac:dyDescent="0.2">
      <c r="A41" s="1">
        <f>IF(OR(Table1[[#This Row],['# of TX Element per IC]]&lt;&gt;"",Table1[[#This Row],['# of RX Element per IC]]&lt;&gt;""),Table1[[#This Row],['# of TX Element per IC]]+Table1[[#This Row],['# of RX Element per IC]],#N/A)</f>
        <v>4</v>
      </c>
      <c r="B41" s="1" t="e">
        <f>IF(OR(Table1[[#This Row],[Type (TX, RX, TRX, Oscillator)]]="TX", Table1[[#This Row],[Type (TX, RX, TRX, Oscillator)]]="TX FE"),A41,#N/A)</f>
        <v>#N/A</v>
      </c>
      <c r="C41" s="1">
        <f>IF(OR(Table1[[#This Row],[Type (TX, RX, TRX, Oscillator)]]="RX", Table1[[#This Row],[Type (TX, RX, TRX, Oscillator)]]="RX FE"),A41,#N/A)</f>
        <v>4</v>
      </c>
      <c r="D41" s="1" t="e">
        <f>IF(OR(Table1[[#This Row],[Type (TX, RX, TRX, Oscillator)]]="TRX",Table1[[#This Row],[Type (TX, RX, TRX, Oscillator)]]="TRX FE"),A41,#N/A)</f>
        <v>#N/A</v>
      </c>
      <c r="E41" s="1" t="e">
        <f>IF(Table1[[#This Row],[Type (TX, RX, TRX, Oscillator)]]="Oscillator",A41,#N/A)</f>
        <v>#N/A</v>
      </c>
      <c r="F41" s="1" t="e">
        <f>IF(Table1[[#This Row],[Type (TX, RX, TRX, Oscillator)]]="Relay",A41,#N/A)</f>
        <v>#N/A</v>
      </c>
      <c r="H41" s="1">
        <f>IF(Table1[[#This Row],[Process (CMOS_Bulk, CMOS_SOI, CMOS_FinFET, SiGe)]]&lt;&gt;"",Table1[[#This Row],[TX '# of Polarization]]+Table1[[#This Row],[RX '# of Polarization]],#N/A)</f>
        <v>1</v>
      </c>
      <c r="I41" s="1" t="e">
        <f>IF(OR(Table1[[#This Row],[Type (TX, RX, TRX, Oscillator)]]="TX", Table1[[#This Row],[Type (TX, RX, TRX, Oscillator)]]="TX FE"),H41,#N/A)</f>
        <v>#N/A</v>
      </c>
      <c r="J41" s="1">
        <f>IF(OR(Table1[[#This Row],[Type (TX, RX, TRX, Oscillator)]]="RX", Table1[[#This Row],[Type (TX, RX, TRX, Oscillator)]]="RX FE"),H41,#N/A)</f>
        <v>1</v>
      </c>
      <c r="K41" s="1" t="e">
        <f>IF(OR(Table1[[#This Row],[Type (TX, RX, TRX, Oscillator)]]="TRX",Table1[[#This Row],[Type (TX, RX, TRX, Oscillator)]]="TRX FE"),H41,#N/A)</f>
        <v>#N/A</v>
      </c>
      <c r="L41" s="1" t="e">
        <f>IF(Table1[[#This Row],[Type (TX, RX, TRX, Oscillator)]]="Oscillator",H41,#N/A)</f>
        <v>#N/A</v>
      </c>
      <c r="M41" s="1" t="e">
        <f>IF(Table1[[#This Row],[Type (TX, RX, TRX, Oscillator)]]="Relay",H41,#N/A)</f>
        <v>#N/A</v>
      </c>
    </row>
    <row r="42" spans="1:13" x14ac:dyDescent="0.2">
      <c r="A42" s="1">
        <f>IF(OR(Table1[[#This Row],['# of TX Element per IC]]&lt;&gt;"",Table1[[#This Row],['# of RX Element per IC]]&lt;&gt;""),Table1[[#This Row],['# of TX Element per IC]]+Table1[[#This Row],['# of RX Element per IC]],#N/A)</f>
        <v>8</v>
      </c>
      <c r="B42" s="1" t="e">
        <f>IF(OR(Table1[[#This Row],[Type (TX, RX, TRX, Oscillator)]]="TX", Table1[[#This Row],[Type (TX, RX, TRX, Oscillator)]]="TX FE"),A42,#N/A)</f>
        <v>#N/A</v>
      </c>
      <c r="C42" s="1" t="e">
        <f>IF(OR(Table1[[#This Row],[Type (TX, RX, TRX, Oscillator)]]="RX", Table1[[#This Row],[Type (TX, RX, TRX, Oscillator)]]="RX FE"),A42,#N/A)</f>
        <v>#N/A</v>
      </c>
      <c r="D42" s="1">
        <f>IF(OR(Table1[[#This Row],[Type (TX, RX, TRX, Oscillator)]]="TRX",Table1[[#This Row],[Type (TX, RX, TRX, Oscillator)]]="TRX FE"),A42,#N/A)</f>
        <v>8</v>
      </c>
      <c r="E42" s="1" t="e">
        <f>IF(Table1[[#This Row],[Type (TX, RX, TRX, Oscillator)]]="Oscillator",A42,#N/A)</f>
        <v>#N/A</v>
      </c>
      <c r="F42" s="1" t="e">
        <f>IF(Table1[[#This Row],[Type (TX, RX, TRX, Oscillator)]]="Relay",A42,#N/A)</f>
        <v>#N/A</v>
      </c>
      <c r="H42" s="1">
        <f>IF(Table1[[#This Row],[Process (CMOS_Bulk, CMOS_SOI, CMOS_FinFET, SiGe)]]&lt;&gt;"",Table1[[#This Row],[TX '# of Polarization]]+Table1[[#This Row],[RX '# of Polarization]],#N/A)</f>
        <v>2</v>
      </c>
      <c r="I42" s="1" t="e">
        <f>IF(OR(Table1[[#This Row],[Type (TX, RX, TRX, Oscillator)]]="TX", Table1[[#This Row],[Type (TX, RX, TRX, Oscillator)]]="TX FE"),H42,#N/A)</f>
        <v>#N/A</v>
      </c>
      <c r="J42" s="1" t="e">
        <f>IF(OR(Table1[[#This Row],[Type (TX, RX, TRX, Oscillator)]]="RX", Table1[[#This Row],[Type (TX, RX, TRX, Oscillator)]]="RX FE"),H42,#N/A)</f>
        <v>#N/A</v>
      </c>
      <c r="K42" s="1">
        <f>IF(OR(Table1[[#This Row],[Type (TX, RX, TRX, Oscillator)]]="TRX",Table1[[#This Row],[Type (TX, RX, TRX, Oscillator)]]="TRX FE"),H42,#N/A)</f>
        <v>2</v>
      </c>
      <c r="L42" s="1" t="e">
        <f>IF(Table1[[#This Row],[Type (TX, RX, TRX, Oscillator)]]="Oscillator",H42,#N/A)</f>
        <v>#N/A</v>
      </c>
      <c r="M42" s="1" t="e">
        <f>IF(Table1[[#This Row],[Type (TX, RX, TRX, Oscillator)]]="Relay",H42,#N/A)</f>
        <v>#N/A</v>
      </c>
    </row>
    <row r="43" spans="1:13" x14ac:dyDescent="0.2">
      <c r="A43" s="1">
        <f>IF(OR(Table1[[#This Row],['# of TX Element per IC]]&lt;&gt;"",Table1[[#This Row],['# of RX Element per IC]]&lt;&gt;""),Table1[[#This Row],['# of TX Element per IC]]+Table1[[#This Row],['# of RX Element per IC]],#N/A)</f>
        <v>2</v>
      </c>
      <c r="B43" s="1" t="e">
        <f>IF(OR(Table1[[#This Row],[Type (TX, RX, TRX, Oscillator)]]="TX", Table1[[#This Row],[Type (TX, RX, TRX, Oscillator)]]="TX FE"),A43,#N/A)</f>
        <v>#N/A</v>
      </c>
      <c r="C43" s="1" t="e">
        <f>IF(OR(Table1[[#This Row],[Type (TX, RX, TRX, Oscillator)]]="RX", Table1[[#This Row],[Type (TX, RX, TRX, Oscillator)]]="RX FE"),A43,#N/A)</f>
        <v>#N/A</v>
      </c>
      <c r="D43" s="1">
        <f>IF(OR(Table1[[#This Row],[Type (TX, RX, TRX, Oscillator)]]="TRX",Table1[[#This Row],[Type (TX, RX, TRX, Oscillator)]]="TRX FE"),A43,#N/A)</f>
        <v>2</v>
      </c>
      <c r="E43" s="1" t="e">
        <f>IF(Table1[[#This Row],[Type (TX, RX, TRX, Oscillator)]]="Oscillator",A43,#N/A)</f>
        <v>#N/A</v>
      </c>
      <c r="F43" s="1" t="e">
        <f>IF(Table1[[#This Row],[Type (TX, RX, TRX, Oscillator)]]="Relay",A43,#N/A)</f>
        <v>#N/A</v>
      </c>
      <c r="H43" s="1">
        <f>IF(Table1[[#This Row],[Process (CMOS_Bulk, CMOS_SOI, CMOS_FinFET, SiGe)]]&lt;&gt;"",Table1[[#This Row],[TX '# of Polarization]]+Table1[[#This Row],[RX '# of Polarization]],#N/A)</f>
        <v>2</v>
      </c>
      <c r="I43" s="1" t="e">
        <f>IF(OR(Table1[[#This Row],[Type (TX, RX, TRX, Oscillator)]]="TX", Table1[[#This Row],[Type (TX, RX, TRX, Oscillator)]]="TX FE"),H43,#N/A)</f>
        <v>#N/A</v>
      </c>
      <c r="J43" s="1" t="e">
        <f>IF(OR(Table1[[#This Row],[Type (TX, RX, TRX, Oscillator)]]="RX", Table1[[#This Row],[Type (TX, RX, TRX, Oscillator)]]="RX FE"),H43,#N/A)</f>
        <v>#N/A</v>
      </c>
      <c r="K43" s="1">
        <f>IF(OR(Table1[[#This Row],[Type (TX, RX, TRX, Oscillator)]]="TRX",Table1[[#This Row],[Type (TX, RX, TRX, Oscillator)]]="TRX FE"),H43,#N/A)</f>
        <v>2</v>
      </c>
      <c r="L43" s="1" t="e">
        <f>IF(Table1[[#This Row],[Type (TX, RX, TRX, Oscillator)]]="Oscillator",H43,#N/A)</f>
        <v>#N/A</v>
      </c>
      <c r="M43" s="1" t="e">
        <f>IF(Table1[[#This Row],[Type (TX, RX, TRX, Oscillator)]]="Relay",H43,#N/A)</f>
        <v>#N/A</v>
      </c>
    </row>
    <row r="44" spans="1:13" x14ac:dyDescent="0.2">
      <c r="A44" s="1">
        <f>IF(OR(Table1[[#This Row],['# of TX Element per IC]]&lt;&gt;"",Table1[[#This Row],['# of RX Element per IC]]&lt;&gt;""),Table1[[#This Row],['# of TX Element per IC]]+Table1[[#This Row],['# of RX Element per IC]],#N/A)</f>
        <v>1</v>
      </c>
      <c r="B44" s="1" t="e">
        <f>IF(OR(Table1[[#This Row],[Type (TX, RX, TRX, Oscillator)]]="TX", Table1[[#This Row],[Type (TX, RX, TRX, Oscillator)]]="TX FE"),A44,#N/A)</f>
        <v>#N/A</v>
      </c>
      <c r="C44" s="1">
        <f>IF(OR(Table1[[#This Row],[Type (TX, RX, TRX, Oscillator)]]="RX", Table1[[#This Row],[Type (TX, RX, TRX, Oscillator)]]="RX FE"),A44,#N/A)</f>
        <v>1</v>
      </c>
      <c r="D44" s="1" t="e">
        <f>IF(OR(Table1[[#This Row],[Type (TX, RX, TRX, Oscillator)]]="TRX",Table1[[#This Row],[Type (TX, RX, TRX, Oscillator)]]="TRX FE"),A44,#N/A)</f>
        <v>#N/A</v>
      </c>
      <c r="E44" s="1" t="e">
        <f>IF(Table1[[#This Row],[Type (TX, RX, TRX, Oscillator)]]="Oscillator",A44,#N/A)</f>
        <v>#N/A</v>
      </c>
      <c r="F44" s="1" t="e">
        <f>IF(Table1[[#This Row],[Type (TX, RX, TRX, Oscillator)]]="Relay",A44,#N/A)</f>
        <v>#N/A</v>
      </c>
      <c r="H44" s="1">
        <f>IF(Table1[[#This Row],[Process (CMOS_Bulk, CMOS_SOI, CMOS_FinFET, SiGe)]]&lt;&gt;"",Table1[[#This Row],[TX '# of Polarization]]+Table1[[#This Row],[RX '# of Polarization]],#N/A)</f>
        <v>1</v>
      </c>
      <c r="I44" s="1" t="e">
        <f>IF(OR(Table1[[#This Row],[Type (TX, RX, TRX, Oscillator)]]="TX", Table1[[#This Row],[Type (TX, RX, TRX, Oscillator)]]="TX FE"),H44,#N/A)</f>
        <v>#N/A</v>
      </c>
      <c r="J44" s="1">
        <f>IF(OR(Table1[[#This Row],[Type (TX, RX, TRX, Oscillator)]]="RX", Table1[[#This Row],[Type (TX, RX, TRX, Oscillator)]]="RX FE"),H44,#N/A)</f>
        <v>1</v>
      </c>
      <c r="K44" s="1" t="e">
        <f>IF(OR(Table1[[#This Row],[Type (TX, RX, TRX, Oscillator)]]="TRX",Table1[[#This Row],[Type (TX, RX, TRX, Oscillator)]]="TRX FE"),H44,#N/A)</f>
        <v>#N/A</v>
      </c>
      <c r="L44" s="1" t="e">
        <f>IF(Table1[[#This Row],[Type (TX, RX, TRX, Oscillator)]]="Oscillator",H44,#N/A)</f>
        <v>#N/A</v>
      </c>
      <c r="M44" s="1" t="e">
        <f>IF(Table1[[#This Row],[Type (TX, RX, TRX, Oscillator)]]="Relay",H44,#N/A)</f>
        <v>#N/A</v>
      </c>
    </row>
    <row r="45" spans="1:13" x14ac:dyDescent="0.2">
      <c r="A45" s="1">
        <f>IF(OR(Table1[[#This Row],['# of TX Element per IC]]&lt;&gt;"",Table1[[#This Row],['# of RX Element per IC]]&lt;&gt;""),Table1[[#This Row],['# of TX Element per IC]]+Table1[[#This Row],['# of RX Element per IC]],#N/A)</f>
        <v>1</v>
      </c>
      <c r="B45" s="1" t="e">
        <f>IF(OR(Table1[[#This Row],[Type (TX, RX, TRX, Oscillator)]]="TX", Table1[[#This Row],[Type (TX, RX, TRX, Oscillator)]]="TX FE"),A45,#N/A)</f>
        <v>#N/A</v>
      </c>
      <c r="C45" s="1">
        <f>IF(OR(Table1[[#This Row],[Type (TX, RX, TRX, Oscillator)]]="RX", Table1[[#This Row],[Type (TX, RX, TRX, Oscillator)]]="RX FE"),A45,#N/A)</f>
        <v>1</v>
      </c>
      <c r="D45" s="1" t="e">
        <f>IF(OR(Table1[[#This Row],[Type (TX, RX, TRX, Oscillator)]]="TRX",Table1[[#This Row],[Type (TX, RX, TRX, Oscillator)]]="TRX FE"),A45,#N/A)</f>
        <v>#N/A</v>
      </c>
      <c r="E45" s="1" t="e">
        <f>IF(Table1[[#This Row],[Type (TX, RX, TRX, Oscillator)]]="Oscillator",A45,#N/A)</f>
        <v>#N/A</v>
      </c>
      <c r="F45" s="1" t="e">
        <f>IF(Table1[[#This Row],[Type (TX, RX, TRX, Oscillator)]]="Relay",A45,#N/A)</f>
        <v>#N/A</v>
      </c>
      <c r="H45" s="1">
        <f>IF(Table1[[#This Row],[Process (CMOS_Bulk, CMOS_SOI, CMOS_FinFET, SiGe)]]&lt;&gt;"",Table1[[#This Row],[TX '# of Polarization]]+Table1[[#This Row],[RX '# of Polarization]],#N/A)</f>
        <v>1</v>
      </c>
      <c r="I45" s="1" t="e">
        <f>IF(OR(Table1[[#This Row],[Type (TX, RX, TRX, Oscillator)]]="TX", Table1[[#This Row],[Type (TX, RX, TRX, Oscillator)]]="TX FE"),H45,#N/A)</f>
        <v>#N/A</v>
      </c>
      <c r="J45" s="1">
        <f>IF(OR(Table1[[#This Row],[Type (TX, RX, TRX, Oscillator)]]="RX", Table1[[#This Row],[Type (TX, RX, TRX, Oscillator)]]="RX FE"),H45,#N/A)</f>
        <v>1</v>
      </c>
      <c r="K45" s="1" t="e">
        <f>IF(OR(Table1[[#This Row],[Type (TX, RX, TRX, Oscillator)]]="TRX",Table1[[#This Row],[Type (TX, RX, TRX, Oscillator)]]="TRX FE"),H45,#N/A)</f>
        <v>#N/A</v>
      </c>
      <c r="L45" s="1" t="e">
        <f>IF(Table1[[#This Row],[Type (TX, RX, TRX, Oscillator)]]="Oscillator",H45,#N/A)</f>
        <v>#N/A</v>
      </c>
      <c r="M45" s="1" t="e">
        <f>IF(Table1[[#This Row],[Type (TX, RX, TRX, Oscillator)]]="Relay",H45,#N/A)</f>
        <v>#N/A</v>
      </c>
    </row>
    <row r="46" spans="1:13" x14ac:dyDescent="0.2">
      <c r="A46" s="1">
        <f>IF(OR(Table1[[#This Row],['# of TX Element per IC]]&lt;&gt;"",Table1[[#This Row],['# of RX Element per IC]]&lt;&gt;""),Table1[[#This Row],['# of TX Element per IC]]+Table1[[#This Row],['# of RX Element per IC]],#N/A)</f>
        <v>8</v>
      </c>
      <c r="B46" s="1" t="e">
        <f>IF(OR(Table1[[#This Row],[Type (TX, RX, TRX, Oscillator)]]="TX", Table1[[#This Row],[Type (TX, RX, TRX, Oscillator)]]="TX FE"),A46,#N/A)</f>
        <v>#N/A</v>
      </c>
      <c r="C46" s="1" t="e">
        <f>IF(OR(Table1[[#This Row],[Type (TX, RX, TRX, Oscillator)]]="RX", Table1[[#This Row],[Type (TX, RX, TRX, Oscillator)]]="RX FE"),A46,#N/A)</f>
        <v>#N/A</v>
      </c>
      <c r="D46" s="1">
        <f>IF(OR(Table1[[#This Row],[Type (TX, RX, TRX, Oscillator)]]="TRX",Table1[[#This Row],[Type (TX, RX, TRX, Oscillator)]]="TRX FE"),A46,#N/A)</f>
        <v>8</v>
      </c>
      <c r="E46" s="1" t="e">
        <f>IF(Table1[[#This Row],[Type (TX, RX, TRX, Oscillator)]]="Oscillator",A46,#N/A)</f>
        <v>#N/A</v>
      </c>
      <c r="F46" s="1" t="e">
        <f>IF(Table1[[#This Row],[Type (TX, RX, TRX, Oscillator)]]="Relay",A46,#N/A)</f>
        <v>#N/A</v>
      </c>
      <c r="H46" s="1">
        <f>IF(Table1[[#This Row],[Process (CMOS_Bulk, CMOS_SOI, CMOS_FinFET, SiGe)]]&lt;&gt;"",Table1[[#This Row],[TX '# of Polarization]]+Table1[[#This Row],[RX '# of Polarization]],#N/A)</f>
        <v>2</v>
      </c>
      <c r="I46" s="1" t="e">
        <f>IF(OR(Table1[[#This Row],[Type (TX, RX, TRX, Oscillator)]]="TX", Table1[[#This Row],[Type (TX, RX, TRX, Oscillator)]]="TX FE"),H46,#N/A)</f>
        <v>#N/A</v>
      </c>
      <c r="J46" s="1" t="e">
        <f>IF(OR(Table1[[#This Row],[Type (TX, RX, TRX, Oscillator)]]="RX", Table1[[#This Row],[Type (TX, RX, TRX, Oscillator)]]="RX FE"),H46,#N/A)</f>
        <v>#N/A</v>
      </c>
      <c r="K46" s="1">
        <f>IF(OR(Table1[[#This Row],[Type (TX, RX, TRX, Oscillator)]]="TRX",Table1[[#This Row],[Type (TX, RX, TRX, Oscillator)]]="TRX FE"),H46,#N/A)</f>
        <v>2</v>
      </c>
      <c r="L46" s="1" t="e">
        <f>IF(Table1[[#This Row],[Type (TX, RX, TRX, Oscillator)]]="Oscillator",H46,#N/A)</f>
        <v>#N/A</v>
      </c>
      <c r="M46" s="1" t="e">
        <f>IF(Table1[[#This Row],[Type (TX, RX, TRX, Oscillator)]]="Relay",H46,#N/A)</f>
        <v>#N/A</v>
      </c>
    </row>
    <row r="47" spans="1:13" x14ac:dyDescent="0.2">
      <c r="A47" s="1">
        <f>IF(OR(Table1[[#This Row],['# of TX Element per IC]]&lt;&gt;"",Table1[[#This Row],['# of RX Element per IC]]&lt;&gt;""),Table1[[#This Row],['# of TX Element per IC]]+Table1[[#This Row],['# of RX Element per IC]],#N/A)</f>
        <v>24</v>
      </c>
      <c r="B47" s="1" t="e">
        <f>IF(OR(Table1[[#This Row],[Type (TX, RX, TRX, Oscillator)]]="TX", Table1[[#This Row],[Type (TX, RX, TRX, Oscillator)]]="TX FE"),A47,#N/A)</f>
        <v>#N/A</v>
      </c>
      <c r="C47" s="1" t="e">
        <f>IF(OR(Table1[[#This Row],[Type (TX, RX, TRX, Oscillator)]]="RX", Table1[[#This Row],[Type (TX, RX, TRX, Oscillator)]]="RX FE"),A47,#N/A)</f>
        <v>#N/A</v>
      </c>
      <c r="D47" s="1">
        <f>IF(OR(Table1[[#This Row],[Type (TX, RX, TRX, Oscillator)]]="TRX",Table1[[#This Row],[Type (TX, RX, TRX, Oscillator)]]="TRX FE"),A47,#N/A)</f>
        <v>24</v>
      </c>
      <c r="E47" s="1" t="e">
        <f>IF(Table1[[#This Row],[Type (TX, RX, TRX, Oscillator)]]="Oscillator",A47,#N/A)</f>
        <v>#N/A</v>
      </c>
      <c r="F47" s="1" t="e">
        <f>IF(Table1[[#This Row],[Type (TX, RX, TRX, Oscillator)]]="Relay",A47,#N/A)</f>
        <v>#N/A</v>
      </c>
      <c r="H47" s="1">
        <f>IF(Table1[[#This Row],[Process (CMOS_Bulk, CMOS_SOI, CMOS_FinFET, SiGe)]]&lt;&gt;"",Table1[[#This Row],[TX '# of Polarization]]+Table1[[#This Row],[RX '# of Polarization]],#N/A)</f>
        <v>2</v>
      </c>
      <c r="I47" s="1" t="e">
        <f>IF(OR(Table1[[#This Row],[Type (TX, RX, TRX, Oscillator)]]="TX", Table1[[#This Row],[Type (TX, RX, TRX, Oscillator)]]="TX FE"),H47,#N/A)</f>
        <v>#N/A</v>
      </c>
      <c r="J47" s="1" t="e">
        <f>IF(OR(Table1[[#This Row],[Type (TX, RX, TRX, Oscillator)]]="RX", Table1[[#This Row],[Type (TX, RX, TRX, Oscillator)]]="RX FE"),H47,#N/A)</f>
        <v>#N/A</v>
      </c>
      <c r="K47" s="1">
        <f>IF(OR(Table1[[#This Row],[Type (TX, RX, TRX, Oscillator)]]="TRX",Table1[[#This Row],[Type (TX, RX, TRX, Oscillator)]]="TRX FE"),H47,#N/A)</f>
        <v>2</v>
      </c>
      <c r="L47" s="1" t="e">
        <f>IF(Table1[[#This Row],[Type (TX, RX, TRX, Oscillator)]]="Oscillator",H47,#N/A)</f>
        <v>#N/A</v>
      </c>
      <c r="M47" s="1" t="e">
        <f>IF(Table1[[#This Row],[Type (TX, RX, TRX, Oscillator)]]="Relay",H47,#N/A)</f>
        <v>#N/A</v>
      </c>
    </row>
    <row r="48" spans="1:13" x14ac:dyDescent="0.2">
      <c r="A48" s="1">
        <f>IF(OR(Table1[[#This Row],['# of TX Element per IC]]&lt;&gt;"",Table1[[#This Row],['# of RX Element per IC]]&lt;&gt;""),Table1[[#This Row],['# of TX Element per IC]]+Table1[[#This Row],['# of RX Element per IC]],#N/A)</f>
        <v>64</v>
      </c>
      <c r="B48" s="1" t="e">
        <f>IF(OR(Table1[[#This Row],[Type (TX, RX, TRX, Oscillator)]]="TX", Table1[[#This Row],[Type (TX, RX, TRX, Oscillator)]]="TX FE"),A48,#N/A)</f>
        <v>#N/A</v>
      </c>
      <c r="C48" s="1" t="e">
        <f>IF(OR(Table1[[#This Row],[Type (TX, RX, TRX, Oscillator)]]="RX", Table1[[#This Row],[Type (TX, RX, TRX, Oscillator)]]="RX FE"),A48,#N/A)</f>
        <v>#N/A</v>
      </c>
      <c r="D48" s="1" t="e">
        <f>IF(OR(Table1[[#This Row],[Type (TX, RX, TRX, Oscillator)]]="TRX",Table1[[#This Row],[Type (TX, RX, TRX, Oscillator)]]="TRX FE"),A48,#N/A)</f>
        <v>#N/A</v>
      </c>
      <c r="E48" s="1">
        <f>IF(Table1[[#This Row],[Type (TX, RX, TRX, Oscillator)]]="Oscillator",A48,#N/A)</f>
        <v>64</v>
      </c>
      <c r="F48" s="1" t="e">
        <f>IF(Table1[[#This Row],[Type (TX, RX, TRX, Oscillator)]]="Relay",A48,#N/A)</f>
        <v>#N/A</v>
      </c>
      <c r="H48" s="1">
        <f>IF(Table1[[#This Row],[Process (CMOS_Bulk, CMOS_SOI, CMOS_FinFET, SiGe)]]&lt;&gt;"",Table1[[#This Row],[TX '# of Polarization]]+Table1[[#This Row],[RX '# of Polarization]],#N/A)</f>
        <v>1</v>
      </c>
      <c r="I48" s="1" t="e">
        <f>IF(OR(Table1[[#This Row],[Type (TX, RX, TRX, Oscillator)]]="TX", Table1[[#This Row],[Type (TX, RX, TRX, Oscillator)]]="TX FE"),H48,#N/A)</f>
        <v>#N/A</v>
      </c>
      <c r="J48" s="1" t="e">
        <f>IF(OR(Table1[[#This Row],[Type (TX, RX, TRX, Oscillator)]]="RX", Table1[[#This Row],[Type (TX, RX, TRX, Oscillator)]]="RX FE"),H48,#N/A)</f>
        <v>#N/A</v>
      </c>
      <c r="K48" s="1" t="e">
        <f>IF(OR(Table1[[#This Row],[Type (TX, RX, TRX, Oscillator)]]="TRX",Table1[[#This Row],[Type (TX, RX, TRX, Oscillator)]]="TRX FE"),H48,#N/A)</f>
        <v>#N/A</v>
      </c>
      <c r="L48" s="1">
        <f>IF(Table1[[#This Row],[Type (TX, RX, TRX, Oscillator)]]="Oscillator",H48,#N/A)</f>
        <v>1</v>
      </c>
      <c r="M48" s="1" t="e">
        <f>IF(Table1[[#This Row],[Type (TX, RX, TRX, Oscillator)]]="Relay",H48,#N/A)</f>
        <v>#N/A</v>
      </c>
    </row>
    <row r="49" spans="1:13" x14ac:dyDescent="0.2">
      <c r="A49" s="1">
        <f>IF(OR(Table1[[#This Row],['# of TX Element per IC]]&lt;&gt;"",Table1[[#This Row],['# of RX Element per IC]]&lt;&gt;""),Table1[[#This Row],['# of TX Element per IC]]+Table1[[#This Row],['# of RX Element per IC]],#N/A)</f>
        <v>36</v>
      </c>
      <c r="B49" s="1" t="e">
        <f>IF(OR(Table1[[#This Row],[Type (TX, RX, TRX, Oscillator)]]="TX", Table1[[#This Row],[Type (TX, RX, TRX, Oscillator)]]="TX FE"),A49,#N/A)</f>
        <v>#N/A</v>
      </c>
      <c r="C49" s="1" t="e">
        <f>IF(OR(Table1[[#This Row],[Type (TX, RX, TRX, Oscillator)]]="RX", Table1[[#This Row],[Type (TX, RX, TRX, Oscillator)]]="RX FE"),A49,#N/A)</f>
        <v>#N/A</v>
      </c>
      <c r="D49" s="1" t="e">
        <f>IF(OR(Table1[[#This Row],[Type (TX, RX, TRX, Oscillator)]]="TRX",Table1[[#This Row],[Type (TX, RX, TRX, Oscillator)]]="TRX FE"),A49,#N/A)</f>
        <v>#N/A</v>
      </c>
      <c r="E49" s="1">
        <f>IF(Table1[[#This Row],[Type (TX, RX, TRX, Oscillator)]]="Oscillator",A49,#N/A)</f>
        <v>36</v>
      </c>
      <c r="F49" s="1" t="e">
        <f>IF(Table1[[#This Row],[Type (TX, RX, TRX, Oscillator)]]="Relay",A49,#N/A)</f>
        <v>#N/A</v>
      </c>
      <c r="H49" s="1">
        <f>IF(Table1[[#This Row],[Process (CMOS_Bulk, CMOS_SOI, CMOS_FinFET, SiGe)]]&lt;&gt;"",Table1[[#This Row],[TX '# of Polarization]]+Table1[[#This Row],[RX '# of Polarization]],#N/A)</f>
        <v>1</v>
      </c>
      <c r="I49" s="1" t="e">
        <f>IF(OR(Table1[[#This Row],[Type (TX, RX, TRX, Oscillator)]]="TX", Table1[[#This Row],[Type (TX, RX, TRX, Oscillator)]]="TX FE"),H49,#N/A)</f>
        <v>#N/A</v>
      </c>
      <c r="J49" s="1" t="e">
        <f>IF(OR(Table1[[#This Row],[Type (TX, RX, TRX, Oscillator)]]="RX", Table1[[#This Row],[Type (TX, RX, TRX, Oscillator)]]="RX FE"),H49,#N/A)</f>
        <v>#N/A</v>
      </c>
      <c r="K49" s="1" t="e">
        <f>IF(OR(Table1[[#This Row],[Type (TX, RX, TRX, Oscillator)]]="TRX",Table1[[#This Row],[Type (TX, RX, TRX, Oscillator)]]="TRX FE"),H49,#N/A)</f>
        <v>#N/A</v>
      </c>
      <c r="L49" s="1">
        <f>IF(Table1[[#This Row],[Type (TX, RX, TRX, Oscillator)]]="Oscillator",H49,#N/A)</f>
        <v>1</v>
      </c>
      <c r="M49" s="1" t="e">
        <f>IF(Table1[[#This Row],[Type (TX, RX, TRX, Oscillator)]]="Relay",H49,#N/A)</f>
        <v>#N/A</v>
      </c>
    </row>
    <row r="50" spans="1:13" x14ac:dyDescent="0.2">
      <c r="A50" s="1">
        <f>IF(OR(Table1[[#This Row],['# of TX Element per IC]]&lt;&gt;"",Table1[[#This Row],['# of RX Element per IC]]&lt;&gt;""),Table1[[#This Row],['# of TX Element per IC]]+Table1[[#This Row],['# of RX Element per IC]],#N/A)</f>
        <v>16</v>
      </c>
      <c r="B50" s="1" t="e">
        <f>IF(OR(Table1[[#This Row],[Type (TX, RX, TRX, Oscillator)]]="TX", Table1[[#This Row],[Type (TX, RX, TRX, Oscillator)]]="TX FE"),A50,#N/A)</f>
        <v>#N/A</v>
      </c>
      <c r="C50" s="1" t="e">
        <f>IF(OR(Table1[[#This Row],[Type (TX, RX, TRX, Oscillator)]]="RX", Table1[[#This Row],[Type (TX, RX, TRX, Oscillator)]]="RX FE"),A50,#N/A)</f>
        <v>#N/A</v>
      </c>
      <c r="D50" s="1" t="e">
        <f>IF(OR(Table1[[#This Row],[Type (TX, RX, TRX, Oscillator)]]="TRX",Table1[[#This Row],[Type (TX, RX, TRX, Oscillator)]]="TRX FE"),A50,#N/A)</f>
        <v>#N/A</v>
      </c>
      <c r="E50" s="1">
        <f>IF(Table1[[#This Row],[Type (TX, RX, TRX, Oscillator)]]="Oscillator",A50,#N/A)</f>
        <v>16</v>
      </c>
      <c r="F50" s="1" t="e">
        <f>IF(Table1[[#This Row],[Type (TX, RX, TRX, Oscillator)]]="Relay",A50,#N/A)</f>
        <v>#N/A</v>
      </c>
      <c r="H50" s="1">
        <f>IF(Table1[[#This Row],[Process (CMOS_Bulk, CMOS_SOI, CMOS_FinFET, SiGe)]]&lt;&gt;"",Table1[[#This Row],[TX '# of Polarization]]+Table1[[#This Row],[RX '# of Polarization]],#N/A)</f>
        <v>1</v>
      </c>
      <c r="I50" s="1" t="e">
        <f>IF(OR(Table1[[#This Row],[Type (TX, RX, TRX, Oscillator)]]="TX", Table1[[#This Row],[Type (TX, RX, TRX, Oscillator)]]="TX FE"),H50,#N/A)</f>
        <v>#N/A</v>
      </c>
      <c r="J50" s="1" t="e">
        <f>IF(OR(Table1[[#This Row],[Type (TX, RX, TRX, Oscillator)]]="RX", Table1[[#This Row],[Type (TX, RX, TRX, Oscillator)]]="RX FE"),H50,#N/A)</f>
        <v>#N/A</v>
      </c>
      <c r="K50" s="1" t="e">
        <f>IF(OR(Table1[[#This Row],[Type (TX, RX, TRX, Oscillator)]]="TRX",Table1[[#This Row],[Type (TX, RX, TRX, Oscillator)]]="TRX FE"),H50,#N/A)</f>
        <v>#N/A</v>
      </c>
      <c r="L50" s="1">
        <f>IF(Table1[[#This Row],[Type (TX, RX, TRX, Oscillator)]]="Oscillator",H50,#N/A)</f>
        <v>1</v>
      </c>
      <c r="M50" s="1" t="e">
        <f>IF(Table1[[#This Row],[Type (TX, RX, TRX, Oscillator)]]="Relay",H50,#N/A)</f>
        <v>#N/A</v>
      </c>
    </row>
    <row r="51" spans="1:13" x14ac:dyDescent="0.2">
      <c r="A51" s="1">
        <f>IF(OR(Table1[[#This Row],['# of TX Element per IC]]&lt;&gt;"",Table1[[#This Row],['# of RX Element per IC]]&lt;&gt;""),Table1[[#This Row],['# of TX Element per IC]]+Table1[[#This Row],['# of RX Element per IC]],#N/A)</f>
        <v>1</v>
      </c>
      <c r="B51" s="1" t="e">
        <f>IF(OR(Table1[[#This Row],[Type (TX, RX, TRX, Oscillator)]]="TX", Table1[[#This Row],[Type (TX, RX, TRX, Oscillator)]]="TX FE"),A51,#N/A)</f>
        <v>#N/A</v>
      </c>
      <c r="C51" s="1" t="e">
        <f>IF(OR(Table1[[#This Row],[Type (TX, RX, TRX, Oscillator)]]="RX", Table1[[#This Row],[Type (TX, RX, TRX, Oscillator)]]="RX FE"),A51,#N/A)</f>
        <v>#N/A</v>
      </c>
      <c r="D51" s="1" t="e">
        <f>IF(OR(Table1[[#This Row],[Type (TX, RX, TRX, Oscillator)]]="TRX",Table1[[#This Row],[Type (TX, RX, TRX, Oscillator)]]="TRX FE"),A51,#N/A)</f>
        <v>#N/A</v>
      </c>
      <c r="E51" s="1">
        <f>IF(Table1[[#This Row],[Type (TX, RX, TRX, Oscillator)]]="Oscillator",A51,#N/A)</f>
        <v>1</v>
      </c>
      <c r="F51" s="1" t="e">
        <f>IF(Table1[[#This Row],[Type (TX, RX, TRX, Oscillator)]]="Relay",A51,#N/A)</f>
        <v>#N/A</v>
      </c>
      <c r="H51" s="1">
        <f>IF(Table1[[#This Row],[Process (CMOS_Bulk, CMOS_SOI, CMOS_FinFET, SiGe)]]&lt;&gt;"",Table1[[#This Row],[TX '# of Polarization]]+Table1[[#This Row],[RX '# of Polarization]],#N/A)</f>
        <v>1</v>
      </c>
      <c r="I51" s="1" t="e">
        <f>IF(OR(Table1[[#This Row],[Type (TX, RX, TRX, Oscillator)]]="TX", Table1[[#This Row],[Type (TX, RX, TRX, Oscillator)]]="TX FE"),H51,#N/A)</f>
        <v>#N/A</v>
      </c>
      <c r="J51" s="1" t="e">
        <f>IF(OR(Table1[[#This Row],[Type (TX, RX, TRX, Oscillator)]]="RX", Table1[[#This Row],[Type (TX, RX, TRX, Oscillator)]]="RX FE"),H51,#N/A)</f>
        <v>#N/A</v>
      </c>
      <c r="K51" s="1" t="e">
        <f>IF(OR(Table1[[#This Row],[Type (TX, RX, TRX, Oscillator)]]="TRX",Table1[[#This Row],[Type (TX, RX, TRX, Oscillator)]]="TRX FE"),H51,#N/A)</f>
        <v>#N/A</v>
      </c>
      <c r="L51" s="1">
        <f>IF(Table1[[#This Row],[Type (TX, RX, TRX, Oscillator)]]="Oscillator",H51,#N/A)</f>
        <v>1</v>
      </c>
      <c r="M51" s="1" t="e">
        <f>IF(Table1[[#This Row],[Type (TX, RX, TRX, Oscillator)]]="Relay",H51,#N/A)</f>
        <v>#N/A</v>
      </c>
    </row>
    <row r="52" spans="1:13" x14ac:dyDescent="0.2">
      <c r="A52" s="1">
        <f>IF(OR(Table1[[#This Row],['# of TX Element per IC]]&lt;&gt;"",Table1[[#This Row],['# of RX Element per IC]]&lt;&gt;""),Table1[[#This Row],['# of TX Element per IC]]+Table1[[#This Row],['# of RX Element per IC]],#N/A)</f>
        <v>8</v>
      </c>
      <c r="B52" s="1" t="e">
        <f>IF(OR(Table1[[#This Row],[Type (TX, RX, TRX, Oscillator)]]="TX", Table1[[#This Row],[Type (TX, RX, TRX, Oscillator)]]="TX FE"),A52,#N/A)</f>
        <v>#N/A</v>
      </c>
      <c r="C52" s="1" t="e">
        <f>IF(OR(Table1[[#This Row],[Type (TX, RX, TRX, Oscillator)]]="RX", Table1[[#This Row],[Type (TX, RX, TRX, Oscillator)]]="RX FE"),A52,#N/A)</f>
        <v>#N/A</v>
      </c>
      <c r="D52" s="1" t="e">
        <f>IF(OR(Table1[[#This Row],[Type (TX, RX, TRX, Oscillator)]]="TRX",Table1[[#This Row],[Type (TX, RX, TRX, Oscillator)]]="TRX FE"),A52,#N/A)</f>
        <v>#N/A</v>
      </c>
      <c r="E52" s="1">
        <f>IF(Table1[[#This Row],[Type (TX, RX, TRX, Oscillator)]]="Oscillator",A52,#N/A)</f>
        <v>8</v>
      </c>
      <c r="F52" s="1" t="e">
        <f>IF(Table1[[#This Row],[Type (TX, RX, TRX, Oscillator)]]="Relay",A52,#N/A)</f>
        <v>#N/A</v>
      </c>
      <c r="H52" s="1">
        <f>IF(Table1[[#This Row],[Process (CMOS_Bulk, CMOS_SOI, CMOS_FinFET, SiGe)]]&lt;&gt;"",Table1[[#This Row],[TX '# of Polarization]]+Table1[[#This Row],[RX '# of Polarization]],#N/A)</f>
        <v>1</v>
      </c>
      <c r="I52" s="1" t="e">
        <f>IF(OR(Table1[[#This Row],[Type (TX, RX, TRX, Oscillator)]]="TX", Table1[[#This Row],[Type (TX, RX, TRX, Oscillator)]]="TX FE"),H52,#N/A)</f>
        <v>#N/A</v>
      </c>
      <c r="J52" s="1" t="e">
        <f>IF(OR(Table1[[#This Row],[Type (TX, RX, TRX, Oscillator)]]="RX", Table1[[#This Row],[Type (TX, RX, TRX, Oscillator)]]="RX FE"),H52,#N/A)</f>
        <v>#N/A</v>
      </c>
      <c r="K52" s="1" t="e">
        <f>IF(OR(Table1[[#This Row],[Type (TX, RX, TRX, Oscillator)]]="TRX",Table1[[#This Row],[Type (TX, RX, TRX, Oscillator)]]="TRX FE"),H52,#N/A)</f>
        <v>#N/A</v>
      </c>
      <c r="L52" s="1">
        <f>IF(Table1[[#This Row],[Type (TX, RX, TRX, Oscillator)]]="Oscillator",H52,#N/A)</f>
        <v>1</v>
      </c>
      <c r="M52" s="1" t="e">
        <f>IF(Table1[[#This Row],[Type (TX, RX, TRX, Oscillator)]]="Relay",H52,#N/A)</f>
        <v>#N/A</v>
      </c>
    </row>
    <row r="53" spans="1:13" x14ac:dyDescent="0.2">
      <c r="A53" s="1">
        <f>IF(OR(Table1[[#This Row],['# of TX Element per IC]]&lt;&gt;"",Table1[[#This Row],['# of RX Element per IC]]&lt;&gt;""),Table1[[#This Row],['# of TX Element per IC]]+Table1[[#This Row],['# of RX Element per IC]],#N/A)</f>
        <v>8</v>
      </c>
      <c r="B53" s="1" t="e">
        <f>IF(OR(Table1[[#This Row],[Type (TX, RX, TRX, Oscillator)]]="TX", Table1[[#This Row],[Type (TX, RX, TRX, Oscillator)]]="TX FE"),A53,#N/A)</f>
        <v>#N/A</v>
      </c>
      <c r="C53" s="1" t="e">
        <f>IF(OR(Table1[[#This Row],[Type (TX, RX, TRX, Oscillator)]]="RX", Table1[[#This Row],[Type (TX, RX, TRX, Oscillator)]]="RX FE"),A53,#N/A)</f>
        <v>#N/A</v>
      </c>
      <c r="D53" s="1">
        <f>IF(OR(Table1[[#This Row],[Type (TX, RX, TRX, Oscillator)]]="TRX",Table1[[#This Row],[Type (TX, RX, TRX, Oscillator)]]="TRX FE"),A53,#N/A)</f>
        <v>8</v>
      </c>
      <c r="E53" s="1" t="e">
        <f>IF(Table1[[#This Row],[Type (TX, RX, TRX, Oscillator)]]="Oscillator",A53,#N/A)</f>
        <v>#N/A</v>
      </c>
      <c r="F53" s="1" t="e">
        <f>IF(Table1[[#This Row],[Type (TX, RX, TRX, Oscillator)]]="Relay",A53,#N/A)</f>
        <v>#N/A</v>
      </c>
      <c r="H53" s="1">
        <f>IF(Table1[[#This Row],[Process (CMOS_Bulk, CMOS_SOI, CMOS_FinFET, SiGe)]]&lt;&gt;"",Table1[[#This Row],[TX '# of Polarization]]+Table1[[#This Row],[RX '# of Polarization]],#N/A)</f>
        <v>2</v>
      </c>
      <c r="I53" s="1" t="e">
        <f>IF(OR(Table1[[#This Row],[Type (TX, RX, TRX, Oscillator)]]="TX", Table1[[#This Row],[Type (TX, RX, TRX, Oscillator)]]="TX FE"),H53,#N/A)</f>
        <v>#N/A</v>
      </c>
      <c r="J53" s="1" t="e">
        <f>IF(OR(Table1[[#This Row],[Type (TX, RX, TRX, Oscillator)]]="RX", Table1[[#This Row],[Type (TX, RX, TRX, Oscillator)]]="RX FE"),H53,#N/A)</f>
        <v>#N/A</v>
      </c>
      <c r="K53" s="1">
        <f>IF(OR(Table1[[#This Row],[Type (TX, RX, TRX, Oscillator)]]="TRX",Table1[[#This Row],[Type (TX, RX, TRX, Oscillator)]]="TRX FE"),H53,#N/A)</f>
        <v>2</v>
      </c>
      <c r="L53" s="1" t="e">
        <f>IF(Table1[[#This Row],[Type (TX, RX, TRX, Oscillator)]]="Oscillator",H53,#N/A)</f>
        <v>#N/A</v>
      </c>
      <c r="M53" s="1" t="e">
        <f>IF(Table1[[#This Row],[Type (TX, RX, TRX, Oscillator)]]="Relay",H53,#N/A)</f>
        <v>#N/A</v>
      </c>
    </row>
    <row r="54" spans="1:13" x14ac:dyDescent="0.2">
      <c r="A54" s="1">
        <f>IF(OR(Table1[[#This Row],['# of TX Element per IC]]&lt;&gt;"",Table1[[#This Row],['# of RX Element per IC]]&lt;&gt;""),Table1[[#This Row],['# of TX Element per IC]]+Table1[[#This Row],['# of RX Element per IC]],#N/A)</f>
        <v>2</v>
      </c>
      <c r="B54" s="1" t="e">
        <f>IF(OR(Table1[[#This Row],[Type (TX, RX, TRX, Oscillator)]]="TX", Table1[[#This Row],[Type (TX, RX, TRX, Oscillator)]]="TX FE"),A54,#N/A)</f>
        <v>#N/A</v>
      </c>
      <c r="C54" s="1" t="e">
        <f>IF(OR(Table1[[#This Row],[Type (TX, RX, TRX, Oscillator)]]="RX", Table1[[#This Row],[Type (TX, RX, TRX, Oscillator)]]="RX FE"),A54,#N/A)</f>
        <v>#N/A</v>
      </c>
      <c r="D54" s="1">
        <f>IF(OR(Table1[[#This Row],[Type (TX, RX, TRX, Oscillator)]]="TRX",Table1[[#This Row],[Type (TX, RX, TRX, Oscillator)]]="TRX FE"),A54,#N/A)</f>
        <v>2</v>
      </c>
      <c r="E54" s="1" t="e">
        <f>IF(Table1[[#This Row],[Type (TX, RX, TRX, Oscillator)]]="Oscillator",A54,#N/A)</f>
        <v>#N/A</v>
      </c>
      <c r="F54" s="1" t="e">
        <f>IF(Table1[[#This Row],[Type (TX, RX, TRX, Oscillator)]]="Relay",A54,#N/A)</f>
        <v>#N/A</v>
      </c>
      <c r="H54" s="1">
        <f>IF(Table1[[#This Row],[Process (CMOS_Bulk, CMOS_SOI, CMOS_FinFET, SiGe)]]&lt;&gt;"",Table1[[#This Row],[TX '# of Polarization]]+Table1[[#This Row],[RX '# of Polarization]],#N/A)</f>
        <v>2</v>
      </c>
      <c r="I54" s="1" t="e">
        <f>IF(OR(Table1[[#This Row],[Type (TX, RX, TRX, Oscillator)]]="TX", Table1[[#This Row],[Type (TX, RX, TRX, Oscillator)]]="TX FE"),H54,#N/A)</f>
        <v>#N/A</v>
      </c>
      <c r="J54" s="1" t="e">
        <f>IF(OR(Table1[[#This Row],[Type (TX, RX, TRX, Oscillator)]]="RX", Table1[[#This Row],[Type (TX, RX, TRX, Oscillator)]]="RX FE"),H54,#N/A)</f>
        <v>#N/A</v>
      </c>
      <c r="K54" s="1">
        <f>IF(OR(Table1[[#This Row],[Type (TX, RX, TRX, Oscillator)]]="TRX",Table1[[#This Row],[Type (TX, RX, TRX, Oscillator)]]="TRX FE"),H54,#N/A)</f>
        <v>2</v>
      </c>
      <c r="L54" s="1" t="e">
        <f>IF(Table1[[#This Row],[Type (TX, RX, TRX, Oscillator)]]="Oscillator",H54,#N/A)</f>
        <v>#N/A</v>
      </c>
      <c r="M54" s="1" t="e">
        <f>IF(Table1[[#This Row],[Type (TX, RX, TRX, Oscillator)]]="Relay",H54,#N/A)</f>
        <v>#N/A</v>
      </c>
    </row>
    <row r="55" spans="1:13" x14ac:dyDescent="0.2">
      <c r="A55" s="1">
        <f>IF(OR(Table1[[#This Row],['# of TX Element per IC]]&lt;&gt;"",Table1[[#This Row],['# of RX Element per IC]]&lt;&gt;""),Table1[[#This Row],['# of TX Element per IC]]+Table1[[#This Row],['# of RX Element per IC]],#N/A)</f>
        <v>2</v>
      </c>
      <c r="B55" s="1" t="e">
        <f>IF(OR(Table1[[#This Row],[Type (TX, RX, TRX, Oscillator)]]="TX", Table1[[#This Row],[Type (TX, RX, TRX, Oscillator)]]="TX FE"),A55,#N/A)</f>
        <v>#N/A</v>
      </c>
      <c r="C55" s="1" t="e">
        <f>IF(OR(Table1[[#This Row],[Type (TX, RX, TRX, Oscillator)]]="RX", Table1[[#This Row],[Type (TX, RX, TRX, Oscillator)]]="RX FE"),A55,#N/A)</f>
        <v>#N/A</v>
      </c>
      <c r="D55" s="1">
        <f>IF(OR(Table1[[#This Row],[Type (TX, RX, TRX, Oscillator)]]="TRX",Table1[[#This Row],[Type (TX, RX, TRX, Oscillator)]]="TRX FE"),A55,#N/A)</f>
        <v>2</v>
      </c>
      <c r="E55" s="1" t="e">
        <f>IF(Table1[[#This Row],[Type (TX, RX, TRX, Oscillator)]]="Oscillator",A55,#N/A)</f>
        <v>#N/A</v>
      </c>
      <c r="F55" s="1" t="e">
        <f>IF(Table1[[#This Row],[Type (TX, RX, TRX, Oscillator)]]="Relay",A55,#N/A)</f>
        <v>#N/A</v>
      </c>
      <c r="H55" s="1">
        <f>IF(Table1[[#This Row],[Process (CMOS_Bulk, CMOS_SOI, CMOS_FinFET, SiGe)]]&lt;&gt;"",Table1[[#This Row],[TX '# of Polarization]]+Table1[[#This Row],[RX '# of Polarization]],#N/A)</f>
        <v>2</v>
      </c>
      <c r="I55" s="1" t="e">
        <f>IF(OR(Table1[[#This Row],[Type (TX, RX, TRX, Oscillator)]]="TX", Table1[[#This Row],[Type (TX, RX, TRX, Oscillator)]]="TX FE"),H55,#N/A)</f>
        <v>#N/A</v>
      </c>
      <c r="J55" s="1" t="e">
        <f>IF(OR(Table1[[#This Row],[Type (TX, RX, TRX, Oscillator)]]="RX", Table1[[#This Row],[Type (TX, RX, TRX, Oscillator)]]="RX FE"),H55,#N/A)</f>
        <v>#N/A</v>
      </c>
      <c r="K55" s="1">
        <f>IF(OR(Table1[[#This Row],[Type (TX, RX, TRX, Oscillator)]]="TRX",Table1[[#This Row],[Type (TX, RX, TRX, Oscillator)]]="TRX FE"),H55,#N/A)</f>
        <v>2</v>
      </c>
      <c r="L55" s="1" t="e">
        <f>IF(Table1[[#This Row],[Type (TX, RX, TRX, Oscillator)]]="Oscillator",H55,#N/A)</f>
        <v>#N/A</v>
      </c>
      <c r="M55" s="1" t="e">
        <f>IF(Table1[[#This Row],[Type (TX, RX, TRX, Oscillator)]]="Relay",H55,#N/A)</f>
        <v>#N/A</v>
      </c>
    </row>
    <row r="56" spans="1:13" x14ac:dyDescent="0.2">
      <c r="A56" s="1">
        <f>IF(OR(Table1[[#This Row],['# of TX Element per IC]]&lt;&gt;"",Table1[[#This Row],['# of RX Element per IC]]&lt;&gt;""),Table1[[#This Row],['# of TX Element per IC]]+Table1[[#This Row],['# of RX Element per IC]],#N/A)</f>
        <v>1</v>
      </c>
      <c r="B56" s="1" t="e">
        <f>IF(OR(Table1[[#This Row],[Type (TX, RX, TRX, Oscillator)]]="TX", Table1[[#This Row],[Type (TX, RX, TRX, Oscillator)]]="TX FE"),A56,#N/A)</f>
        <v>#N/A</v>
      </c>
      <c r="C56" s="1">
        <f>IF(OR(Table1[[#This Row],[Type (TX, RX, TRX, Oscillator)]]="RX", Table1[[#This Row],[Type (TX, RX, TRX, Oscillator)]]="RX FE"),A56,#N/A)</f>
        <v>1</v>
      </c>
      <c r="D56" s="1" t="e">
        <f>IF(OR(Table1[[#This Row],[Type (TX, RX, TRX, Oscillator)]]="TRX",Table1[[#This Row],[Type (TX, RX, TRX, Oscillator)]]="TRX FE"),A56,#N/A)</f>
        <v>#N/A</v>
      </c>
      <c r="E56" s="1" t="e">
        <f>IF(Table1[[#This Row],[Type (TX, RX, TRX, Oscillator)]]="Oscillator",A56,#N/A)</f>
        <v>#N/A</v>
      </c>
      <c r="F56" s="1" t="e">
        <f>IF(Table1[[#This Row],[Type (TX, RX, TRX, Oscillator)]]="Relay",A56,#N/A)</f>
        <v>#N/A</v>
      </c>
      <c r="H56" s="1">
        <f>IF(Table1[[#This Row],[Process (CMOS_Bulk, CMOS_SOI, CMOS_FinFET, SiGe)]]&lt;&gt;"",Table1[[#This Row],[TX '# of Polarization]]+Table1[[#This Row],[RX '# of Polarization]],#N/A)</f>
        <v>1</v>
      </c>
      <c r="I56" s="1" t="e">
        <f>IF(OR(Table1[[#This Row],[Type (TX, RX, TRX, Oscillator)]]="TX", Table1[[#This Row],[Type (TX, RX, TRX, Oscillator)]]="TX FE"),H56,#N/A)</f>
        <v>#N/A</v>
      </c>
      <c r="J56" s="1">
        <f>IF(OR(Table1[[#This Row],[Type (TX, RX, TRX, Oscillator)]]="RX", Table1[[#This Row],[Type (TX, RX, TRX, Oscillator)]]="RX FE"),H56,#N/A)</f>
        <v>1</v>
      </c>
      <c r="K56" s="1" t="e">
        <f>IF(OR(Table1[[#This Row],[Type (TX, RX, TRX, Oscillator)]]="TRX",Table1[[#This Row],[Type (TX, RX, TRX, Oscillator)]]="TRX FE"),H56,#N/A)</f>
        <v>#N/A</v>
      </c>
      <c r="L56" s="1" t="e">
        <f>IF(Table1[[#This Row],[Type (TX, RX, TRX, Oscillator)]]="Oscillator",H56,#N/A)</f>
        <v>#N/A</v>
      </c>
      <c r="M56" s="1" t="e">
        <f>IF(Table1[[#This Row],[Type (TX, RX, TRX, Oscillator)]]="Relay",H56,#N/A)</f>
        <v>#N/A</v>
      </c>
    </row>
    <row r="57" spans="1:13" x14ac:dyDescent="0.2">
      <c r="A57" s="1">
        <f>IF(OR(Table1[[#This Row],['# of TX Element per IC]]&lt;&gt;"",Table1[[#This Row],['# of RX Element per IC]]&lt;&gt;""),Table1[[#This Row],['# of TX Element per IC]]+Table1[[#This Row],['# of RX Element per IC]],#N/A)</f>
        <v>1</v>
      </c>
      <c r="B57" s="1">
        <f>IF(OR(Table1[[#This Row],[Type (TX, RX, TRX, Oscillator)]]="TX", Table1[[#This Row],[Type (TX, RX, TRX, Oscillator)]]="TX FE"),A57,#N/A)</f>
        <v>1</v>
      </c>
      <c r="C57" s="1" t="e">
        <f>IF(OR(Table1[[#This Row],[Type (TX, RX, TRX, Oscillator)]]="RX", Table1[[#This Row],[Type (TX, RX, TRX, Oscillator)]]="RX FE"),A57,#N/A)</f>
        <v>#N/A</v>
      </c>
      <c r="D57" s="1" t="e">
        <f>IF(OR(Table1[[#This Row],[Type (TX, RX, TRX, Oscillator)]]="TRX",Table1[[#This Row],[Type (TX, RX, TRX, Oscillator)]]="TRX FE"),A57,#N/A)</f>
        <v>#N/A</v>
      </c>
      <c r="E57" s="1" t="e">
        <f>IF(Table1[[#This Row],[Type (TX, RX, TRX, Oscillator)]]="Oscillator",A57,#N/A)</f>
        <v>#N/A</v>
      </c>
      <c r="F57" s="1" t="e">
        <f>IF(Table1[[#This Row],[Type (TX, RX, TRX, Oscillator)]]="Relay",A57,#N/A)</f>
        <v>#N/A</v>
      </c>
      <c r="H57" s="1">
        <f>IF(Table1[[#This Row],[Process (CMOS_Bulk, CMOS_SOI, CMOS_FinFET, SiGe)]]&lt;&gt;"",Table1[[#This Row],[TX '# of Polarization]]+Table1[[#This Row],[RX '# of Polarization]],#N/A)</f>
        <v>1</v>
      </c>
      <c r="I57" s="1">
        <f>IF(OR(Table1[[#This Row],[Type (TX, RX, TRX, Oscillator)]]="TX", Table1[[#This Row],[Type (TX, RX, TRX, Oscillator)]]="TX FE"),H57,#N/A)</f>
        <v>1</v>
      </c>
      <c r="J57" s="1" t="e">
        <f>IF(OR(Table1[[#This Row],[Type (TX, RX, TRX, Oscillator)]]="RX", Table1[[#This Row],[Type (TX, RX, TRX, Oscillator)]]="RX FE"),H57,#N/A)</f>
        <v>#N/A</v>
      </c>
      <c r="K57" s="1" t="e">
        <f>IF(OR(Table1[[#This Row],[Type (TX, RX, TRX, Oscillator)]]="TRX",Table1[[#This Row],[Type (TX, RX, TRX, Oscillator)]]="TRX FE"),H57,#N/A)</f>
        <v>#N/A</v>
      </c>
      <c r="L57" s="1" t="e">
        <f>IF(Table1[[#This Row],[Type (TX, RX, TRX, Oscillator)]]="Oscillator",H57,#N/A)</f>
        <v>#N/A</v>
      </c>
      <c r="M57" s="1" t="e">
        <f>IF(Table1[[#This Row],[Type (TX, RX, TRX, Oscillator)]]="Relay",H57,#N/A)</f>
        <v>#N/A</v>
      </c>
    </row>
    <row r="58" spans="1:13" x14ac:dyDescent="0.2">
      <c r="A58" s="1">
        <f>IF(OR(Table1[[#This Row],['# of TX Element per IC]]&lt;&gt;"",Table1[[#This Row],['# of RX Element per IC]]&lt;&gt;""),Table1[[#This Row],['# of TX Element per IC]]+Table1[[#This Row],['# of RX Element per IC]],#N/A)</f>
        <v>1</v>
      </c>
      <c r="B58" s="1">
        <f>IF(OR(Table1[[#This Row],[Type (TX, RX, TRX, Oscillator)]]="TX", Table1[[#This Row],[Type (TX, RX, TRX, Oscillator)]]="TX FE"),A58,#N/A)</f>
        <v>1</v>
      </c>
      <c r="C58" s="1" t="e">
        <f>IF(OR(Table1[[#This Row],[Type (TX, RX, TRX, Oscillator)]]="RX", Table1[[#This Row],[Type (TX, RX, TRX, Oscillator)]]="RX FE"),A58,#N/A)</f>
        <v>#N/A</v>
      </c>
      <c r="D58" s="1" t="e">
        <f>IF(OR(Table1[[#This Row],[Type (TX, RX, TRX, Oscillator)]]="TRX",Table1[[#This Row],[Type (TX, RX, TRX, Oscillator)]]="TRX FE"),A58,#N/A)</f>
        <v>#N/A</v>
      </c>
      <c r="E58" s="1" t="e">
        <f>IF(Table1[[#This Row],[Type (TX, RX, TRX, Oscillator)]]="Oscillator",A58,#N/A)</f>
        <v>#N/A</v>
      </c>
      <c r="F58" s="1" t="e">
        <f>IF(Table1[[#This Row],[Type (TX, RX, TRX, Oscillator)]]="Relay",A58,#N/A)</f>
        <v>#N/A</v>
      </c>
      <c r="H58" s="1">
        <f>IF(Table1[[#This Row],[Process (CMOS_Bulk, CMOS_SOI, CMOS_FinFET, SiGe)]]&lt;&gt;"",Table1[[#This Row],[TX '# of Polarization]]+Table1[[#This Row],[RX '# of Polarization]],#N/A)</f>
        <v>1</v>
      </c>
      <c r="I58" s="1">
        <f>IF(OR(Table1[[#This Row],[Type (TX, RX, TRX, Oscillator)]]="TX", Table1[[#This Row],[Type (TX, RX, TRX, Oscillator)]]="TX FE"),H58,#N/A)</f>
        <v>1</v>
      </c>
      <c r="J58" s="1" t="e">
        <f>IF(OR(Table1[[#This Row],[Type (TX, RX, TRX, Oscillator)]]="RX", Table1[[#This Row],[Type (TX, RX, TRX, Oscillator)]]="RX FE"),H58,#N/A)</f>
        <v>#N/A</v>
      </c>
      <c r="K58" s="1" t="e">
        <f>IF(OR(Table1[[#This Row],[Type (TX, RX, TRX, Oscillator)]]="TRX",Table1[[#This Row],[Type (TX, RX, TRX, Oscillator)]]="TRX FE"),H58,#N/A)</f>
        <v>#N/A</v>
      </c>
      <c r="L58" s="1" t="e">
        <f>IF(Table1[[#This Row],[Type (TX, RX, TRX, Oscillator)]]="Oscillator",H58,#N/A)</f>
        <v>#N/A</v>
      </c>
      <c r="M58" s="1" t="e">
        <f>IF(Table1[[#This Row],[Type (TX, RX, TRX, Oscillator)]]="Relay",H58,#N/A)</f>
        <v>#N/A</v>
      </c>
    </row>
    <row r="59" spans="1:13" x14ac:dyDescent="0.2">
      <c r="A59" s="1">
        <f>IF(OR(Table1[[#This Row],['# of TX Element per IC]]&lt;&gt;"",Table1[[#This Row],['# of RX Element per IC]]&lt;&gt;""),Table1[[#This Row],['# of TX Element per IC]]+Table1[[#This Row],['# of RX Element per IC]],#N/A)</f>
        <v>1</v>
      </c>
      <c r="B59" s="1" t="e">
        <f>IF(OR(Table1[[#This Row],[Type (TX, RX, TRX, Oscillator)]]="TX", Table1[[#This Row],[Type (TX, RX, TRX, Oscillator)]]="TX FE"),A59,#N/A)</f>
        <v>#N/A</v>
      </c>
      <c r="C59" s="1">
        <f>IF(OR(Table1[[#This Row],[Type (TX, RX, TRX, Oscillator)]]="RX", Table1[[#This Row],[Type (TX, RX, TRX, Oscillator)]]="RX FE"),A59,#N/A)</f>
        <v>1</v>
      </c>
      <c r="D59" s="1" t="e">
        <f>IF(OR(Table1[[#This Row],[Type (TX, RX, TRX, Oscillator)]]="TRX",Table1[[#This Row],[Type (TX, RX, TRX, Oscillator)]]="TRX FE"),A59,#N/A)</f>
        <v>#N/A</v>
      </c>
      <c r="E59" s="1" t="e">
        <f>IF(Table1[[#This Row],[Type (TX, RX, TRX, Oscillator)]]="Oscillator",A59,#N/A)</f>
        <v>#N/A</v>
      </c>
      <c r="F59" s="1" t="e">
        <f>IF(Table1[[#This Row],[Type (TX, RX, TRX, Oscillator)]]="Relay",A59,#N/A)</f>
        <v>#N/A</v>
      </c>
      <c r="H59" s="1">
        <f>IF(Table1[[#This Row],[Process (CMOS_Bulk, CMOS_SOI, CMOS_FinFET, SiGe)]]&lt;&gt;"",Table1[[#This Row],[TX '# of Polarization]]+Table1[[#This Row],[RX '# of Polarization]],#N/A)</f>
        <v>1</v>
      </c>
      <c r="I59" s="1" t="e">
        <f>IF(OR(Table1[[#This Row],[Type (TX, RX, TRX, Oscillator)]]="TX", Table1[[#This Row],[Type (TX, RX, TRX, Oscillator)]]="TX FE"),H59,#N/A)</f>
        <v>#N/A</v>
      </c>
      <c r="J59" s="1">
        <f>IF(OR(Table1[[#This Row],[Type (TX, RX, TRX, Oscillator)]]="RX", Table1[[#This Row],[Type (TX, RX, TRX, Oscillator)]]="RX FE"),H59,#N/A)</f>
        <v>1</v>
      </c>
      <c r="K59" s="1" t="e">
        <f>IF(OR(Table1[[#This Row],[Type (TX, RX, TRX, Oscillator)]]="TRX",Table1[[#This Row],[Type (TX, RX, TRX, Oscillator)]]="TRX FE"),H59,#N/A)</f>
        <v>#N/A</v>
      </c>
      <c r="L59" s="1" t="e">
        <f>IF(Table1[[#This Row],[Type (TX, RX, TRX, Oscillator)]]="Oscillator",H59,#N/A)</f>
        <v>#N/A</v>
      </c>
      <c r="M59" s="1" t="e">
        <f>IF(Table1[[#This Row],[Type (TX, RX, TRX, Oscillator)]]="Relay",H59,#N/A)</f>
        <v>#N/A</v>
      </c>
    </row>
    <row r="60" spans="1:13" x14ac:dyDescent="0.2">
      <c r="A60" s="1">
        <f>IF(OR(Table1[[#This Row],['# of TX Element per IC]]&lt;&gt;"",Table1[[#This Row],['# of RX Element per IC]]&lt;&gt;""),Table1[[#This Row],['# of TX Element per IC]]+Table1[[#This Row],['# of RX Element per IC]],#N/A)</f>
        <v>8</v>
      </c>
      <c r="B60" s="1" t="e">
        <f>IF(OR(Table1[[#This Row],[Type (TX, RX, TRX, Oscillator)]]="TX", Table1[[#This Row],[Type (TX, RX, TRX, Oscillator)]]="TX FE"),A60,#N/A)</f>
        <v>#N/A</v>
      </c>
      <c r="C60" s="1" t="e">
        <f>IF(OR(Table1[[#This Row],[Type (TX, RX, TRX, Oscillator)]]="RX", Table1[[#This Row],[Type (TX, RX, TRX, Oscillator)]]="RX FE"),A60,#N/A)</f>
        <v>#N/A</v>
      </c>
      <c r="D60" s="1">
        <f>IF(OR(Table1[[#This Row],[Type (TX, RX, TRX, Oscillator)]]="TRX",Table1[[#This Row],[Type (TX, RX, TRX, Oscillator)]]="TRX FE"),A60,#N/A)</f>
        <v>8</v>
      </c>
      <c r="E60" s="1" t="e">
        <f>IF(Table1[[#This Row],[Type (TX, RX, TRX, Oscillator)]]="Oscillator",A60,#N/A)</f>
        <v>#N/A</v>
      </c>
      <c r="F60" s="1" t="e">
        <f>IF(Table1[[#This Row],[Type (TX, RX, TRX, Oscillator)]]="Relay",A60,#N/A)</f>
        <v>#N/A</v>
      </c>
      <c r="H60" s="1">
        <f>IF(Table1[[#This Row],[Process (CMOS_Bulk, CMOS_SOI, CMOS_FinFET, SiGe)]]&lt;&gt;"",Table1[[#This Row],[TX '# of Polarization]]+Table1[[#This Row],[RX '# of Polarization]],#N/A)</f>
        <v>4</v>
      </c>
      <c r="I60" s="1" t="e">
        <f>IF(OR(Table1[[#This Row],[Type (TX, RX, TRX, Oscillator)]]="TX", Table1[[#This Row],[Type (TX, RX, TRX, Oscillator)]]="TX FE"),H60,#N/A)</f>
        <v>#N/A</v>
      </c>
      <c r="J60" s="1" t="e">
        <f>IF(OR(Table1[[#This Row],[Type (TX, RX, TRX, Oscillator)]]="RX", Table1[[#This Row],[Type (TX, RX, TRX, Oscillator)]]="RX FE"),H60,#N/A)</f>
        <v>#N/A</v>
      </c>
      <c r="K60" s="1">
        <f>IF(OR(Table1[[#This Row],[Type (TX, RX, TRX, Oscillator)]]="TRX",Table1[[#This Row],[Type (TX, RX, TRX, Oscillator)]]="TRX FE"),H60,#N/A)</f>
        <v>4</v>
      </c>
      <c r="L60" s="1" t="e">
        <f>IF(Table1[[#This Row],[Type (TX, RX, TRX, Oscillator)]]="Oscillator",H60,#N/A)</f>
        <v>#N/A</v>
      </c>
      <c r="M60" s="1" t="e">
        <f>IF(Table1[[#This Row],[Type (TX, RX, TRX, Oscillator)]]="Relay",H60,#N/A)</f>
        <v>#N/A</v>
      </c>
    </row>
    <row r="61" spans="1:13" x14ac:dyDescent="0.2">
      <c r="A61" s="1">
        <f>IF(OR(Table1[[#This Row],['# of TX Element per IC]]&lt;&gt;"",Table1[[#This Row],['# of RX Element per IC]]&lt;&gt;""),Table1[[#This Row],['# of TX Element per IC]]+Table1[[#This Row],['# of RX Element per IC]],#N/A)</f>
        <v>8</v>
      </c>
      <c r="B61" s="1" t="e">
        <f>IF(OR(Table1[[#This Row],[Type (TX, RX, TRX, Oscillator)]]="TX", Table1[[#This Row],[Type (TX, RX, TRX, Oscillator)]]="TX FE"),A61,#N/A)</f>
        <v>#N/A</v>
      </c>
      <c r="C61" s="1" t="e">
        <f>IF(OR(Table1[[#This Row],[Type (TX, RX, TRX, Oscillator)]]="RX", Table1[[#This Row],[Type (TX, RX, TRX, Oscillator)]]="RX FE"),A61,#N/A)</f>
        <v>#N/A</v>
      </c>
      <c r="D61" s="1">
        <f>IF(OR(Table1[[#This Row],[Type (TX, RX, TRX, Oscillator)]]="TRX",Table1[[#This Row],[Type (TX, RX, TRX, Oscillator)]]="TRX FE"),A61,#N/A)</f>
        <v>8</v>
      </c>
      <c r="E61" s="1" t="e">
        <f>IF(Table1[[#This Row],[Type (TX, RX, TRX, Oscillator)]]="Oscillator",A61,#N/A)</f>
        <v>#N/A</v>
      </c>
      <c r="F61" s="1" t="e">
        <f>IF(Table1[[#This Row],[Type (TX, RX, TRX, Oscillator)]]="Relay",A61,#N/A)</f>
        <v>#N/A</v>
      </c>
      <c r="H61" s="1">
        <f>IF(Table1[[#This Row],[Process (CMOS_Bulk, CMOS_SOI, CMOS_FinFET, SiGe)]]&lt;&gt;"",Table1[[#This Row],[TX '# of Polarization]]+Table1[[#This Row],[RX '# of Polarization]],#N/A)</f>
        <v>2</v>
      </c>
      <c r="I61" s="1" t="e">
        <f>IF(OR(Table1[[#This Row],[Type (TX, RX, TRX, Oscillator)]]="TX", Table1[[#This Row],[Type (TX, RX, TRX, Oscillator)]]="TX FE"),H61,#N/A)</f>
        <v>#N/A</v>
      </c>
      <c r="J61" s="1" t="e">
        <f>IF(OR(Table1[[#This Row],[Type (TX, RX, TRX, Oscillator)]]="RX", Table1[[#This Row],[Type (TX, RX, TRX, Oscillator)]]="RX FE"),H61,#N/A)</f>
        <v>#N/A</v>
      </c>
      <c r="K61" s="1">
        <f>IF(OR(Table1[[#This Row],[Type (TX, RX, TRX, Oscillator)]]="TRX",Table1[[#This Row],[Type (TX, RX, TRX, Oscillator)]]="TRX FE"),H61,#N/A)</f>
        <v>2</v>
      </c>
      <c r="L61" s="1" t="e">
        <f>IF(Table1[[#This Row],[Type (TX, RX, TRX, Oscillator)]]="Oscillator",H61,#N/A)</f>
        <v>#N/A</v>
      </c>
      <c r="M61" s="1" t="e">
        <f>IF(Table1[[#This Row],[Type (TX, RX, TRX, Oscillator)]]="Relay",H61,#N/A)</f>
        <v>#N/A</v>
      </c>
    </row>
    <row r="62" spans="1:13" x14ac:dyDescent="0.2">
      <c r="A62" s="1">
        <f>IF(OR(Table1[[#This Row],['# of TX Element per IC]]&lt;&gt;"",Table1[[#This Row],['# of RX Element per IC]]&lt;&gt;""),Table1[[#This Row],['# of TX Element per IC]]+Table1[[#This Row],['# of RX Element per IC]],#N/A)</f>
        <v>8</v>
      </c>
      <c r="B62" s="1" t="e">
        <f>IF(OR(Table1[[#This Row],[Type (TX, RX, TRX, Oscillator)]]="TX", Table1[[#This Row],[Type (TX, RX, TRX, Oscillator)]]="TX FE"),A62,#N/A)</f>
        <v>#N/A</v>
      </c>
      <c r="C62" s="1" t="e">
        <f>IF(OR(Table1[[#This Row],[Type (TX, RX, TRX, Oscillator)]]="RX", Table1[[#This Row],[Type (TX, RX, TRX, Oscillator)]]="RX FE"),A62,#N/A)</f>
        <v>#N/A</v>
      </c>
      <c r="D62" s="1">
        <f>IF(OR(Table1[[#This Row],[Type (TX, RX, TRX, Oscillator)]]="TRX",Table1[[#This Row],[Type (TX, RX, TRX, Oscillator)]]="TRX FE"),A62,#N/A)</f>
        <v>8</v>
      </c>
      <c r="E62" s="1" t="e">
        <f>IF(Table1[[#This Row],[Type (TX, RX, TRX, Oscillator)]]="Oscillator",A62,#N/A)</f>
        <v>#N/A</v>
      </c>
      <c r="F62" s="1" t="e">
        <f>IF(Table1[[#This Row],[Type (TX, RX, TRX, Oscillator)]]="Relay",A62,#N/A)</f>
        <v>#N/A</v>
      </c>
      <c r="H62" s="1">
        <f>IF(Table1[[#This Row],[Process (CMOS_Bulk, CMOS_SOI, CMOS_FinFET, SiGe)]]&lt;&gt;"",Table1[[#This Row],[TX '# of Polarization]]+Table1[[#This Row],[RX '# of Polarization]],#N/A)</f>
        <v>2</v>
      </c>
      <c r="I62" s="1" t="e">
        <f>IF(OR(Table1[[#This Row],[Type (TX, RX, TRX, Oscillator)]]="TX", Table1[[#This Row],[Type (TX, RX, TRX, Oscillator)]]="TX FE"),H62,#N/A)</f>
        <v>#N/A</v>
      </c>
      <c r="J62" s="1" t="e">
        <f>IF(OR(Table1[[#This Row],[Type (TX, RX, TRX, Oscillator)]]="RX", Table1[[#This Row],[Type (TX, RX, TRX, Oscillator)]]="RX FE"),H62,#N/A)</f>
        <v>#N/A</v>
      </c>
      <c r="K62" s="1">
        <f>IF(OR(Table1[[#This Row],[Type (TX, RX, TRX, Oscillator)]]="TRX",Table1[[#This Row],[Type (TX, RX, TRX, Oscillator)]]="TRX FE"),H62,#N/A)</f>
        <v>2</v>
      </c>
      <c r="L62" s="1" t="e">
        <f>IF(Table1[[#This Row],[Type (TX, RX, TRX, Oscillator)]]="Oscillator",H62,#N/A)</f>
        <v>#N/A</v>
      </c>
      <c r="M62" s="1" t="e">
        <f>IF(Table1[[#This Row],[Type (TX, RX, TRX, Oscillator)]]="Relay",H62,#N/A)</f>
        <v>#N/A</v>
      </c>
    </row>
    <row r="63" spans="1:13" x14ac:dyDescent="0.2">
      <c r="A63" s="1">
        <f>IF(OR(Table1[[#This Row],['# of TX Element per IC]]&lt;&gt;"",Table1[[#This Row],['# of RX Element per IC]]&lt;&gt;""),Table1[[#This Row],['# of TX Element per IC]]+Table1[[#This Row],['# of RX Element per IC]],#N/A)</f>
        <v>1</v>
      </c>
      <c r="B63" s="1">
        <f>IF(OR(Table1[[#This Row],[Type (TX, RX, TRX, Oscillator)]]="TX", Table1[[#This Row],[Type (TX, RX, TRX, Oscillator)]]="TX FE"),A63,#N/A)</f>
        <v>1</v>
      </c>
      <c r="C63" s="1" t="e">
        <f>IF(OR(Table1[[#This Row],[Type (TX, RX, TRX, Oscillator)]]="RX", Table1[[#This Row],[Type (TX, RX, TRX, Oscillator)]]="RX FE"),A63,#N/A)</f>
        <v>#N/A</v>
      </c>
      <c r="D63" s="1" t="e">
        <f>IF(OR(Table1[[#This Row],[Type (TX, RX, TRX, Oscillator)]]="TRX",Table1[[#This Row],[Type (TX, RX, TRX, Oscillator)]]="TRX FE"),A63,#N/A)</f>
        <v>#N/A</v>
      </c>
      <c r="E63" s="1" t="e">
        <f>IF(Table1[[#This Row],[Type (TX, RX, TRX, Oscillator)]]="Oscillator",A63,#N/A)</f>
        <v>#N/A</v>
      </c>
      <c r="F63" s="1" t="e">
        <f>IF(Table1[[#This Row],[Type (TX, RX, TRX, Oscillator)]]="Relay",A63,#N/A)</f>
        <v>#N/A</v>
      </c>
      <c r="H63" s="1">
        <f>IF(Table1[[#This Row],[Process (CMOS_Bulk, CMOS_SOI, CMOS_FinFET, SiGe)]]&lt;&gt;"",Table1[[#This Row],[TX '# of Polarization]]+Table1[[#This Row],[RX '# of Polarization]],#N/A)</f>
        <v>1</v>
      </c>
      <c r="I63" s="1">
        <f>IF(OR(Table1[[#This Row],[Type (TX, RX, TRX, Oscillator)]]="TX", Table1[[#This Row],[Type (TX, RX, TRX, Oscillator)]]="TX FE"),H63,#N/A)</f>
        <v>1</v>
      </c>
      <c r="J63" s="1" t="e">
        <f>IF(OR(Table1[[#This Row],[Type (TX, RX, TRX, Oscillator)]]="RX", Table1[[#This Row],[Type (TX, RX, TRX, Oscillator)]]="RX FE"),H63,#N/A)</f>
        <v>#N/A</v>
      </c>
      <c r="K63" s="1" t="e">
        <f>IF(OR(Table1[[#This Row],[Type (TX, RX, TRX, Oscillator)]]="TRX",Table1[[#This Row],[Type (TX, RX, TRX, Oscillator)]]="TRX FE"),H63,#N/A)</f>
        <v>#N/A</v>
      </c>
      <c r="L63" s="1" t="e">
        <f>IF(Table1[[#This Row],[Type (TX, RX, TRX, Oscillator)]]="Oscillator",H63,#N/A)</f>
        <v>#N/A</v>
      </c>
      <c r="M63" s="1" t="e">
        <f>IF(Table1[[#This Row],[Type (TX, RX, TRX, Oscillator)]]="Relay",H63,#N/A)</f>
        <v>#N/A</v>
      </c>
    </row>
    <row r="64" spans="1:13" x14ac:dyDescent="0.2">
      <c r="A64" s="1">
        <f>IF(OR(Table1[[#This Row],['# of TX Element per IC]]&lt;&gt;"",Table1[[#This Row],['# of RX Element per IC]]&lt;&gt;""),Table1[[#This Row],['# of TX Element per IC]]+Table1[[#This Row],['# of RX Element per IC]],#N/A)</f>
        <v>1</v>
      </c>
      <c r="B64" s="1" t="e">
        <f>IF(OR(Table1[[#This Row],[Type (TX, RX, TRX, Oscillator)]]="TX", Table1[[#This Row],[Type (TX, RX, TRX, Oscillator)]]="TX FE"),A64,#N/A)</f>
        <v>#N/A</v>
      </c>
      <c r="C64" s="1">
        <f>IF(OR(Table1[[#This Row],[Type (TX, RX, TRX, Oscillator)]]="RX", Table1[[#This Row],[Type (TX, RX, TRX, Oscillator)]]="RX FE"),A64,#N/A)</f>
        <v>1</v>
      </c>
      <c r="D64" s="1" t="e">
        <f>IF(OR(Table1[[#This Row],[Type (TX, RX, TRX, Oscillator)]]="TRX",Table1[[#This Row],[Type (TX, RX, TRX, Oscillator)]]="TRX FE"),A64,#N/A)</f>
        <v>#N/A</v>
      </c>
      <c r="E64" s="1" t="e">
        <f>IF(Table1[[#This Row],[Type (TX, RX, TRX, Oscillator)]]="Oscillator",A64,#N/A)</f>
        <v>#N/A</v>
      </c>
      <c r="F64" s="1" t="e">
        <f>IF(Table1[[#This Row],[Type (TX, RX, TRX, Oscillator)]]="Relay",A64,#N/A)</f>
        <v>#N/A</v>
      </c>
      <c r="H64" s="1">
        <f>IF(Table1[[#This Row],[Process (CMOS_Bulk, CMOS_SOI, CMOS_FinFET, SiGe)]]&lt;&gt;"",Table1[[#This Row],[TX '# of Polarization]]+Table1[[#This Row],[RX '# of Polarization]],#N/A)</f>
        <v>1</v>
      </c>
      <c r="I64" s="1" t="e">
        <f>IF(OR(Table1[[#This Row],[Type (TX, RX, TRX, Oscillator)]]="TX", Table1[[#This Row],[Type (TX, RX, TRX, Oscillator)]]="TX FE"),H64,#N/A)</f>
        <v>#N/A</v>
      </c>
      <c r="J64" s="1">
        <f>IF(OR(Table1[[#This Row],[Type (TX, RX, TRX, Oscillator)]]="RX", Table1[[#This Row],[Type (TX, RX, TRX, Oscillator)]]="RX FE"),H64,#N/A)</f>
        <v>1</v>
      </c>
      <c r="K64" s="1" t="e">
        <f>IF(OR(Table1[[#This Row],[Type (TX, RX, TRX, Oscillator)]]="TRX",Table1[[#This Row],[Type (TX, RX, TRX, Oscillator)]]="TRX FE"),H64,#N/A)</f>
        <v>#N/A</v>
      </c>
      <c r="L64" s="1" t="e">
        <f>IF(Table1[[#This Row],[Type (TX, RX, TRX, Oscillator)]]="Oscillator",H64,#N/A)</f>
        <v>#N/A</v>
      </c>
      <c r="M64" s="1" t="e">
        <f>IF(Table1[[#This Row],[Type (TX, RX, TRX, Oscillator)]]="Relay",H64,#N/A)</f>
        <v>#N/A</v>
      </c>
    </row>
    <row r="65" spans="1:13" x14ac:dyDescent="0.2">
      <c r="A65" s="1">
        <f>IF(OR(Table1[[#This Row],['# of TX Element per IC]]&lt;&gt;"",Table1[[#This Row],['# of RX Element per IC]]&lt;&gt;""),Table1[[#This Row],['# of TX Element per IC]]+Table1[[#This Row],['# of RX Element per IC]],#N/A)</f>
        <v>1</v>
      </c>
      <c r="B65" s="1" t="e">
        <f>IF(OR(Table1[[#This Row],[Type (TX, RX, TRX, Oscillator)]]="TX", Table1[[#This Row],[Type (TX, RX, TRX, Oscillator)]]="TX FE"),A65,#N/A)</f>
        <v>#N/A</v>
      </c>
      <c r="C65" s="1" t="e">
        <f>IF(OR(Table1[[#This Row],[Type (TX, RX, TRX, Oscillator)]]="RX", Table1[[#This Row],[Type (TX, RX, TRX, Oscillator)]]="RX FE"),A65,#N/A)</f>
        <v>#N/A</v>
      </c>
      <c r="D65" s="1" t="e">
        <f>IF(OR(Table1[[#This Row],[Type (TX, RX, TRX, Oscillator)]]="TRX",Table1[[#This Row],[Type (TX, RX, TRX, Oscillator)]]="TRX FE"),A65,#N/A)</f>
        <v>#N/A</v>
      </c>
      <c r="E65" s="1">
        <f>IF(Table1[[#This Row],[Type (TX, RX, TRX, Oscillator)]]="Oscillator",A65,#N/A)</f>
        <v>1</v>
      </c>
      <c r="F65" s="1" t="e">
        <f>IF(Table1[[#This Row],[Type (TX, RX, TRX, Oscillator)]]="Relay",A65,#N/A)</f>
        <v>#N/A</v>
      </c>
      <c r="H65" s="1">
        <f>IF(Table1[[#This Row],[Process (CMOS_Bulk, CMOS_SOI, CMOS_FinFET, SiGe)]]&lt;&gt;"",Table1[[#This Row],[TX '# of Polarization]]+Table1[[#This Row],[RX '# of Polarization]],#N/A)</f>
        <v>1</v>
      </c>
      <c r="I65" s="1" t="e">
        <f>IF(OR(Table1[[#This Row],[Type (TX, RX, TRX, Oscillator)]]="TX", Table1[[#This Row],[Type (TX, RX, TRX, Oscillator)]]="TX FE"),H65,#N/A)</f>
        <v>#N/A</v>
      </c>
      <c r="J65" s="1" t="e">
        <f>IF(OR(Table1[[#This Row],[Type (TX, RX, TRX, Oscillator)]]="RX", Table1[[#This Row],[Type (TX, RX, TRX, Oscillator)]]="RX FE"),H65,#N/A)</f>
        <v>#N/A</v>
      </c>
      <c r="K65" s="1" t="e">
        <f>IF(OR(Table1[[#This Row],[Type (TX, RX, TRX, Oscillator)]]="TRX",Table1[[#This Row],[Type (TX, RX, TRX, Oscillator)]]="TRX FE"),H65,#N/A)</f>
        <v>#N/A</v>
      </c>
      <c r="L65" s="1">
        <f>IF(Table1[[#This Row],[Type (TX, RX, TRX, Oscillator)]]="Oscillator",H65,#N/A)</f>
        <v>1</v>
      </c>
      <c r="M65" s="1" t="e">
        <f>IF(Table1[[#This Row],[Type (TX, RX, TRX, Oscillator)]]="Relay",H65,#N/A)</f>
        <v>#N/A</v>
      </c>
    </row>
    <row r="66" spans="1:13" x14ac:dyDescent="0.2">
      <c r="A66" s="1">
        <f>IF(OR(Table1[[#This Row],['# of TX Element per IC]]&lt;&gt;"",Table1[[#This Row],['# of RX Element per IC]]&lt;&gt;""),Table1[[#This Row],['# of TX Element per IC]]+Table1[[#This Row],['# of RX Element per IC]],#N/A)</f>
        <v>2</v>
      </c>
      <c r="B66" s="1" t="e">
        <f>IF(OR(Table1[[#This Row],[Type (TX, RX, TRX, Oscillator)]]="TX", Table1[[#This Row],[Type (TX, RX, TRX, Oscillator)]]="TX FE"),A66,#N/A)</f>
        <v>#N/A</v>
      </c>
      <c r="C66" s="1" t="e">
        <f>IF(OR(Table1[[#This Row],[Type (TX, RX, TRX, Oscillator)]]="RX", Table1[[#This Row],[Type (TX, RX, TRX, Oscillator)]]="RX FE"),A66,#N/A)</f>
        <v>#N/A</v>
      </c>
      <c r="D66" s="1">
        <f>IF(OR(Table1[[#This Row],[Type (TX, RX, TRX, Oscillator)]]="TRX",Table1[[#This Row],[Type (TX, RX, TRX, Oscillator)]]="TRX FE"),A66,#N/A)</f>
        <v>2</v>
      </c>
      <c r="E66" s="1" t="e">
        <f>IF(Table1[[#This Row],[Type (TX, RX, TRX, Oscillator)]]="Oscillator",A66,#N/A)</f>
        <v>#N/A</v>
      </c>
      <c r="F66" s="1" t="e">
        <f>IF(Table1[[#This Row],[Type (TX, RX, TRX, Oscillator)]]="Relay",A66,#N/A)</f>
        <v>#N/A</v>
      </c>
      <c r="H66" s="1">
        <f>IF(Table1[[#This Row],[Process (CMOS_Bulk, CMOS_SOI, CMOS_FinFET, SiGe)]]&lt;&gt;"",Table1[[#This Row],[TX '# of Polarization]]+Table1[[#This Row],[RX '# of Polarization]],#N/A)</f>
        <v>2</v>
      </c>
      <c r="I66" s="1" t="e">
        <f>IF(OR(Table1[[#This Row],[Type (TX, RX, TRX, Oscillator)]]="TX", Table1[[#This Row],[Type (TX, RX, TRX, Oscillator)]]="TX FE"),H66,#N/A)</f>
        <v>#N/A</v>
      </c>
      <c r="J66" s="1" t="e">
        <f>IF(OR(Table1[[#This Row],[Type (TX, RX, TRX, Oscillator)]]="RX", Table1[[#This Row],[Type (TX, RX, TRX, Oscillator)]]="RX FE"),H66,#N/A)</f>
        <v>#N/A</v>
      </c>
      <c r="K66" s="1">
        <f>IF(OR(Table1[[#This Row],[Type (TX, RX, TRX, Oscillator)]]="TRX",Table1[[#This Row],[Type (TX, RX, TRX, Oscillator)]]="TRX FE"),H66,#N/A)</f>
        <v>2</v>
      </c>
      <c r="L66" s="1" t="e">
        <f>IF(Table1[[#This Row],[Type (TX, RX, TRX, Oscillator)]]="Oscillator",H66,#N/A)</f>
        <v>#N/A</v>
      </c>
      <c r="M66" s="1" t="e">
        <f>IF(Table1[[#This Row],[Type (TX, RX, TRX, Oscillator)]]="Relay",H66,#N/A)</f>
        <v>#N/A</v>
      </c>
    </row>
    <row r="67" spans="1:13" x14ac:dyDescent="0.2">
      <c r="A67" s="1">
        <f>IF(OR(Table1[[#This Row],['# of TX Element per IC]]&lt;&gt;"",Table1[[#This Row],['# of RX Element per IC]]&lt;&gt;""),Table1[[#This Row],['# of TX Element per IC]]+Table1[[#This Row],['# of RX Element per IC]],#N/A)</f>
        <v>21</v>
      </c>
      <c r="B67" s="1" t="e">
        <f>IF(OR(Table1[[#This Row],[Type (TX, RX, TRX, Oscillator)]]="TX", Table1[[#This Row],[Type (TX, RX, TRX, Oscillator)]]="TX FE"),A67,#N/A)</f>
        <v>#N/A</v>
      </c>
      <c r="C67" s="1" t="e">
        <f>IF(OR(Table1[[#This Row],[Type (TX, RX, TRX, Oscillator)]]="RX", Table1[[#This Row],[Type (TX, RX, TRX, Oscillator)]]="RX FE"),A67,#N/A)</f>
        <v>#N/A</v>
      </c>
      <c r="D67" s="1" t="e">
        <f>IF(OR(Table1[[#This Row],[Type (TX, RX, TRX, Oscillator)]]="TRX",Table1[[#This Row],[Type (TX, RX, TRX, Oscillator)]]="TRX FE"),A67,#N/A)</f>
        <v>#N/A</v>
      </c>
      <c r="E67" s="1">
        <f>IF(Table1[[#This Row],[Type (TX, RX, TRX, Oscillator)]]="Oscillator",A67,#N/A)</f>
        <v>21</v>
      </c>
      <c r="F67" s="1" t="e">
        <f>IF(Table1[[#This Row],[Type (TX, RX, TRX, Oscillator)]]="Relay",A67,#N/A)</f>
        <v>#N/A</v>
      </c>
      <c r="H67" s="1">
        <f>IF(Table1[[#This Row],[Process (CMOS_Bulk, CMOS_SOI, CMOS_FinFET, SiGe)]]&lt;&gt;"",Table1[[#This Row],[TX '# of Polarization]]+Table1[[#This Row],[RX '# of Polarization]],#N/A)</f>
        <v>1</v>
      </c>
      <c r="I67" s="1" t="e">
        <f>IF(OR(Table1[[#This Row],[Type (TX, RX, TRX, Oscillator)]]="TX", Table1[[#This Row],[Type (TX, RX, TRX, Oscillator)]]="TX FE"),H67,#N/A)</f>
        <v>#N/A</v>
      </c>
      <c r="J67" s="1" t="e">
        <f>IF(OR(Table1[[#This Row],[Type (TX, RX, TRX, Oscillator)]]="RX", Table1[[#This Row],[Type (TX, RX, TRX, Oscillator)]]="RX FE"),H67,#N/A)</f>
        <v>#N/A</v>
      </c>
      <c r="K67" s="1" t="e">
        <f>IF(OR(Table1[[#This Row],[Type (TX, RX, TRX, Oscillator)]]="TRX",Table1[[#This Row],[Type (TX, RX, TRX, Oscillator)]]="TRX FE"),H67,#N/A)</f>
        <v>#N/A</v>
      </c>
      <c r="L67" s="1">
        <f>IF(Table1[[#This Row],[Type (TX, RX, TRX, Oscillator)]]="Oscillator",H67,#N/A)</f>
        <v>1</v>
      </c>
      <c r="M67" s="1" t="e">
        <f>IF(Table1[[#This Row],[Type (TX, RX, TRX, Oscillator)]]="Relay",H67,#N/A)</f>
        <v>#N/A</v>
      </c>
    </row>
    <row r="68" spans="1:13" x14ac:dyDescent="0.2">
      <c r="A68" s="1">
        <f>IF(OR(Table1[[#This Row],['# of TX Element per IC]]&lt;&gt;"",Table1[[#This Row],['# of RX Element per IC]]&lt;&gt;""),Table1[[#This Row],['# of TX Element per IC]]+Table1[[#This Row],['# of RX Element per IC]],#N/A)</f>
        <v>1</v>
      </c>
      <c r="B68" s="1" t="e">
        <f>IF(OR(Table1[[#This Row],[Type (TX, RX, TRX, Oscillator)]]="TX", Table1[[#This Row],[Type (TX, RX, TRX, Oscillator)]]="TX FE"),A68,#N/A)</f>
        <v>#N/A</v>
      </c>
      <c r="C68" s="1" t="e">
        <f>IF(OR(Table1[[#This Row],[Type (TX, RX, TRX, Oscillator)]]="RX", Table1[[#This Row],[Type (TX, RX, TRX, Oscillator)]]="RX FE"),A68,#N/A)</f>
        <v>#N/A</v>
      </c>
      <c r="D68" s="1" t="e">
        <f>IF(OR(Table1[[#This Row],[Type (TX, RX, TRX, Oscillator)]]="TRX",Table1[[#This Row],[Type (TX, RX, TRX, Oscillator)]]="TRX FE"),A68,#N/A)</f>
        <v>#N/A</v>
      </c>
      <c r="E68" s="1">
        <f>IF(Table1[[#This Row],[Type (TX, RX, TRX, Oscillator)]]="Oscillator",A68,#N/A)</f>
        <v>1</v>
      </c>
      <c r="F68" s="1" t="e">
        <f>IF(Table1[[#This Row],[Type (TX, RX, TRX, Oscillator)]]="Relay",A68,#N/A)</f>
        <v>#N/A</v>
      </c>
      <c r="H68" s="1">
        <f>IF(Table1[[#This Row],[Process (CMOS_Bulk, CMOS_SOI, CMOS_FinFET, SiGe)]]&lt;&gt;"",Table1[[#This Row],[TX '# of Polarization]]+Table1[[#This Row],[RX '# of Polarization]],#N/A)</f>
        <v>1</v>
      </c>
      <c r="I68" s="1" t="e">
        <f>IF(OR(Table1[[#This Row],[Type (TX, RX, TRX, Oscillator)]]="TX", Table1[[#This Row],[Type (TX, RX, TRX, Oscillator)]]="TX FE"),H68,#N/A)</f>
        <v>#N/A</v>
      </c>
      <c r="J68" s="1" t="e">
        <f>IF(OR(Table1[[#This Row],[Type (TX, RX, TRX, Oscillator)]]="RX", Table1[[#This Row],[Type (TX, RX, TRX, Oscillator)]]="RX FE"),H68,#N/A)</f>
        <v>#N/A</v>
      </c>
      <c r="K68" s="1" t="e">
        <f>IF(OR(Table1[[#This Row],[Type (TX, RX, TRX, Oscillator)]]="TRX",Table1[[#This Row],[Type (TX, RX, TRX, Oscillator)]]="TRX FE"),H68,#N/A)</f>
        <v>#N/A</v>
      </c>
      <c r="L68" s="1">
        <f>IF(Table1[[#This Row],[Type (TX, RX, TRX, Oscillator)]]="Oscillator",H68,#N/A)</f>
        <v>1</v>
      </c>
      <c r="M68" s="1" t="e">
        <f>IF(Table1[[#This Row],[Type (TX, RX, TRX, Oscillator)]]="Relay",H68,#N/A)</f>
        <v>#N/A</v>
      </c>
    </row>
    <row r="69" spans="1:13" x14ac:dyDescent="0.2">
      <c r="A69" s="1">
        <f>IF(OR(Table1[[#This Row],['# of TX Element per IC]]&lt;&gt;"",Table1[[#This Row],['# of RX Element per IC]]&lt;&gt;""),Table1[[#This Row],['# of TX Element per IC]]+Table1[[#This Row],['# of RX Element per IC]],#N/A)</f>
        <v>4</v>
      </c>
      <c r="B69" s="1" t="e">
        <f>IF(OR(Table1[[#This Row],[Type (TX, RX, TRX, Oscillator)]]="TX", Table1[[#This Row],[Type (TX, RX, TRX, Oscillator)]]="TX FE"),A69,#N/A)</f>
        <v>#N/A</v>
      </c>
      <c r="C69" s="1" t="e">
        <f>IF(OR(Table1[[#This Row],[Type (TX, RX, TRX, Oscillator)]]="RX", Table1[[#This Row],[Type (TX, RX, TRX, Oscillator)]]="RX FE"),A69,#N/A)</f>
        <v>#N/A</v>
      </c>
      <c r="D69" s="1">
        <f>IF(OR(Table1[[#This Row],[Type (TX, RX, TRX, Oscillator)]]="TRX",Table1[[#This Row],[Type (TX, RX, TRX, Oscillator)]]="TRX FE"),A69,#N/A)</f>
        <v>4</v>
      </c>
      <c r="E69" s="1" t="e">
        <f>IF(Table1[[#This Row],[Type (TX, RX, TRX, Oscillator)]]="Oscillator",A69,#N/A)</f>
        <v>#N/A</v>
      </c>
      <c r="F69" s="1" t="e">
        <f>IF(Table1[[#This Row],[Type (TX, RX, TRX, Oscillator)]]="Relay",A69,#N/A)</f>
        <v>#N/A</v>
      </c>
      <c r="H69" s="1">
        <f>IF(Table1[[#This Row],[Process (CMOS_Bulk, CMOS_SOI, CMOS_FinFET, SiGe)]]&lt;&gt;"",Table1[[#This Row],[TX '# of Polarization]]+Table1[[#This Row],[RX '# of Polarization]],#N/A)</f>
        <v>2</v>
      </c>
      <c r="I69" s="1" t="e">
        <f>IF(OR(Table1[[#This Row],[Type (TX, RX, TRX, Oscillator)]]="TX", Table1[[#This Row],[Type (TX, RX, TRX, Oscillator)]]="TX FE"),H69,#N/A)</f>
        <v>#N/A</v>
      </c>
      <c r="J69" s="1" t="e">
        <f>IF(OR(Table1[[#This Row],[Type (TX, RX, TRX, Oscillator)]]="RX", Table1[[#This Row],[Type (TX, RX, TRX, Oscillator)]]="RX FE"),H69,#N/A)</f>
        <v>#N/A</v>
      </c>
      <c r="K69" s="1">
        <f>IF(OR(Table1[[#This Row],[Type (TX, RX, TRX, Oscillator)]]="TRX",Table1[[#This Row],[Type (TX, RX, TRX, Oscillator)]]="TRX FE"),H69,#N/A)</f>
        <v>2</v>
      </c>
      <c r="L69" s="1" t="e">
        <f>IF(Table1[[#This Row],[Type (TX, RX, TRX, Oscillator)]]="Oscillator",H69,#N/A)</f>
        <v>#N/A</v>
      </c>
      <c r="M69" s="1" t="e">
        <f>IF(Table1[[#This Row],[Type (TX, RX, TRX, Oscillator)]]="Relay",H69,#N/A)</f>
        <v>#N/A</v>
      </c>
    </row>
    <row r="70" spans="1:13" x14ac:dyDescent="0.2">
      <c r="A70" s="1">
        <f>IF(OR(Table1[[#This Row],['# of TX Element per IC]]&lt;&gt;"",Table1[[#This Row],['# of RX Element per IC]]&lt;&gt;""),Table1[[#This Row],['# of TX Element per IC]]+Table1[[#This Row],['# of RX Element per IC]],#N/A)</f>
        <v>1</v>
      </c>
      <c r="B70" s="1">
        <f>IF(OR(Table1[[#This Row],[Type (TX, RX, TRX, Oscillator)]]="TX", Table1[[#This Row],[Type (TX, RX, TRX, Oscillator)]]="TX FE"),A70,#N/A)</f>
        <v>1</v>
      </c>
      <c r="C70" s="1" t="e">
        <f>IF(OR(Table1[[#This Row],[Type (TX, RX, TRX, Oscillator)]]="RX", Table1[[#This Row],[Type (TX, RX, TRX, Oscillator)]]="RX FE"),A70,#N/A)</f>
        <v>#N/A</v>
      </c>
      <c r="D70" s="1" t="e">
        <f>IF(OR(Table1[[#This Row],[Type (TX, RX, TRX, Oscillator)]]="TRX",Table1[[#This Row],[Type (TX, RX, TRX, Oscillator)]]="TRX FE"),A70,#N/A)</f>
        <v>#N/A</v>
      </c>
      <c r="E70" s="1" t="e">
        <f>IF(Table1[[#This Row],[Type (TX, RX, TRX, Oscillator)]]="Oscillator",A70,#N/A)</f>
        <v>#N/A</v>
      </c>
      <c r="F70" s="1" t="e">
        <f>IF(Table1[[#This Row],[Type (TX, RX, TRX, Oscillator)]]="Relay",A70,#N/A)</f>
        <v>#N/A</v>
      </c>
      <c r="H70" s="1">
        <f>IF(Table1[[#This Row],[Process (CMOS_Bulk, CMOS_SOI, CMOS_FinFET, SiGe)]]&lt;&gt;"",Table1[[#This Row],[TX '# of Polarization]]+Table1[[#This Row],[RX '# of Polarization]],#N/A)</f>
        <v>1</v>
      </c>
      <c r="I70" s="1">
        <f>IF(OR(Table1[[#This Row],[Type (TX, RX, TRX, Oscillator)]]="TX", Table1[[#This Row],[Type (TX, RX, TRX, Oscillator)]]="TX FE"),H70,#N/A)</f>
        <v>1</v>
      </c>
      <c r="J70" s="1" t="e">
        <f>IF(OR(Table1[[#This Row],[Type (TX, RX, TRX, Oscillator)]]="RX", Table1[[#This Row],[Type (TX, RX, TRX, Oscillator)]]="RX FE"),H70,#N/A)</f>
        <v>#N/A</v>
      </c>
      <c r="K70" s="1" t="e">
        <f>IF(OR(Table1[[#This Row],[Type (TX, RX, TRX, Oscillator)]]="TRX",Table1[[#This Row],[Type (TX, RX, TRX, Oscillator)]]="TRX FE"),H70,#N/A)</f>
        <v>#N/A</v>
      </c>
      <c r="L70" s="1" t="e">
        <f>IF(Table1[[#This Row],[Type (TX, RX, TRX, Oscillator)]]="Oscillator",H70,#N/A)</f>
        <v>#N/A</v>
      </c>
      <c r="M70" s="1" t="e">
        <f>IF(Table1[[#This Row],[Type (TX, RX, TRX, Oscillator)]]="Relay",H70,#N/A)</f>
        <v>#N/A</v>
      </c>
    </row>
    <row r="71" spans="1:13" x14ac:dyDescent="0.2">
      <c r="A71" s="1">
        <f>IF(OR(Table1[[#This Row],['# of TX Element per IC]]&lt;&gt;"",Table1[[#This Row],['# of RX Element per IC]]&lt;&gt;""),Table1[[#This Row],['# of TX Element per IC]]+Table1[[#This Row],['# of RX Element per IC]],#N/A)</f>
        <v>4</v>
      </c>
      <c r="B71" s="1" t="e">
        <f>IF(OR(Table1[[#This Row],[Type (TX, RX, TRX, Oscillator)]]="TX", Table1[[#This Row],[Type (TX, RX, TRX, Oscillator)]]="TX FE"),A71,#N/A)</f>
        <v>#N/A</v>
      </c>
      <c r="C71" s="1">
        <f>IF(OR(Table1[[#This Row],[Type (TX, RX, TRX, Oscillator)]]="RX", Table1[[#This Row],[Type (TX, RX, TRX, Oscillator)]]="RX FE"),A71,#N/A)</f>
        <v>4</v>
      </c>
      <c r="D71" s="1" t="e">
        <f>IF(OR(Table1[[#This Row],[Type (TX, RX, TRX, Oscillator)]]="TRX",Table1[[#This Row],[Type (TX, RX, TRX, Oscillator)]]="TRX FE"),A71,#N/A)</f>
        <v>#N/A</v>
      </c>
      <c r="E71" s="1" t="e">
        <f>IF(Table1[[#This Row],[Type (TX, RX, TRX, Oscillator)]]="Oscillator",A71,#N/A)</f>
        <v>#N/A</v>
      </c>
      <c r="F71" s="1" t="e">
        <f>IF(Table1[[#This Row],[Type (TX, RX, TRX, Oscillator)]]="Relay",A71,#N/A)</f>
        <v>#N/A</v>
      </c>
      <c r="H71" s="1">
        <f>IF(Table1[[#This Row],[Process (CMOS_Bulk, CMOS_SOI, CMOS_FinFET, SiGe)]]&lt;&gt;"",Table1[[#This Row],[TX '# of Polarization]]+Table1[[#This Row],[RX '# of Polarization]],#N/A)</f>
        <v>2</v>
      </c>
      <c r="I71" s="1" t="e">
        <f>IF(OR(Table1[[#This Row],[Type (TX, RX, TRX, Oscillator)]]="TX", Table1[[#This Row],[Type (TX, RX, TRX, Oscillator)]]="TX FE"),H71,#N/A)</f>
        <v>#N/A</v>
      </c>
      <c r="J71" s="1">
        <f>IF(OR(Table1[[#This Row],[Type (TX, RX, TRX, Oscillator)]]="RX", Table1[[#This Row],[Type (TX, RX, TRX, Oscillator)]]="RX FE"),H71,#N/A)</f>
        <v>2</v>
      </c>
      <c r="K71" s="1" t="e">
        <f>IF(OR(Table1[[#This Row],[Type (TX, RX, TRX, Oscillator)]]="TRX",Table1[[#This Row],[Type (TX, RX, TRX, Oscillator)]]="TRX FE"),H71,#N/A)</f>
        <v>#N/A</v>
      </c>
      <c r="L71" s="1" t="e">
        <f>IF(Table1[[#This Row],[Type (TX, RX, TRX, Oscillator)]]="Oscillator",H71,#N/A)</f>
        <v>#N/A</v>
      </c>
      <c r="M71" s="1" t="e">
        <f>IF(Table1[[#This Row],[Type (TX, RX, TRX, Oscillator)]]="Relay",H71,#N/A)</f>
        <v>#N/A</v>
      </c>
    </row>
    <row r="72" spans="1:13" x14ac:dyDescent="0.2">
      <c r="A72" s="1">
        <f>IF(OR(Table1[[#This Row],['# of TX Element per IC]]&lt;&gt;"",Table1[[#This Row],['# of RX Element per IC]]&lt;&gt;""),Table1[[#This Row],['# of TX Element per IC]]+Table1[[#This Row],['# of RX Element per IC]],#N/A)</f>
        <v>4</v>
      </c>
      <c r="B72" s="1">
        <f>IF(OR(Table1[[#This Row],[Type (TX, RX, TRX, Oscillator)]]="TX", Table1[[#This Row],[Type (TX, RX, TRX, Oscillator)]]="TX FE"),A72,#N/A)</f>
        <v>4</v>
      </c>
      <c r="C72" s="1" t="e">
        <f>IF(OR(Table1[[#This Row],[Type (TX, RX, TRX, Oscillator)]]="RX", Table1[[#This Row],[Type (TX, RX, TRX, Oscillator)]]="RX FE"),A72,#N/A)</f>
        <v>#N/A</v>
      </c>
      <c r="D72" s="1" t="e">
        <f>IF(OR(Table1[[#This Row],[Type (TX, RX, TRX, Oscillator)]]="TRX",Table1[[#This Row],[Type (TX, RX, TRX, Oscillator)]]="TRX FE"),A72,#N/A)</f>
        <v>#N/A</v>
      </c>
      <c r="E72" s="1" t="e">
        <f>IF(Table1[[#This Row],[Type (TX, RX, TRX, Oscillator)]]="Oscillator",A72,#N/A)</f>
        <v>#N/A</v>
      </c>
      <c r="F72" s="1" t="e">
        <f>IF(Table1[[#This Row],[Type (TX, RX, TRX, Oscillator)]]="Relay",A72,#N/A)</f>
        <v>#N/A</v>
      </c>
      <c r="H72" s="1">
        <f>IF(Table1[[#This Row],[Process (CMOS_Bulk, CMOS_SOI, CMOS_FinFET, SiGe)]]&lt;&gt;"",Table1[[#This Row],[TX '# of Polarization]]+Table1[[#This Row],[RX '# of Polarization]],#N/A)</f>
        <v>2</v>
      </c>
      <c r="I72" s="1">
        <f>IF(OR(Table1[[#This Row],[Type (TX, RX, TRX, Oscillator)]]="TX", Table1[[#This Row],[Type (TX, RX, TRX, Oscillator)]]="TX FE"),H72,#N/A)</f>
        <v>2</v>
      </c>
      <c r="J72" s="1" t="e">
        <f>IF(OR(Table1[[#This Row],[Type (TX, RX, TRX, Oscillator)]]="RX", Table1[[#This Row],[Type (TX, RX, TRX, Oscillator)]]="RX FE"),H72,#N/A)</f>
        <v>#N/A</v>
      </c>
      <c r="K72" s="1" t="e">
        <f>IF(OR(Table1[[#This Row],[Type (TX, RX, TRX, Oscillator)]]="TRX",Table1[[#This Row],[Type (TX, RX, TRX, Oscillator)]]="TRX FE"),H72,#N/A)</f>
        <v>#N/A</v>
      </c>
      <c r="L72" s="1" t="e">
        <f>IF(Table1[[#This Row],[Type (TX, RX, TRX, Oscillator)]]="Oscillator",H72,#N/A)</f>
        <v>#N/A</v>
      </c>
      <c r="M72" s="1" t="e">
        <f>IF(Table1[[#This Row],[Type (TX, RX, TRX, Oscillator)]]="Relay",H72,#N/A)</f>
        <v>#N/A</v>
      </c>
    </row>
    <row r="73" spans="1:13" x14ac:dyDescent="0.2">
      <c r="A73" s="1" t="e">
        <f>IF(OR(Table1[[#This Row],['# of TX Element per IC]]&lt;&gt;"",Table1[[#This Row],['# of RX Element per IC]]&lt;&gt;""),Table1[[#This Row],['# of TX Element per IC]]+Table1[[#This Row],['# of RX Element per IC]],#N/A)</f>
        <v>#N/A</v>
      </c>
      <c r="B73" s="1" t="e">
        <f>IF(OR(Table1[[#This Row],[Type (TX, RX, TRX, Oscillator)]]="TX", Table1[[#This Row],[Type (TX, RX, TRX, Oscillator)]]="TX FE"),A73,#N/A)</f>
        <v>#N/A</v>
      </c>
      <c r="C73" s="1" t="e">
        <f>IF(OR(Table1[[#This Row],[Type (TX, RX, TRX, Oscillator)]]="RX", Table1[[#This Row],[Type (TX, RX, TRX, Oscillator)]]="RX FE"),A73,#N/A)</f>
        <v>#N/A</v>
      </c>
      <c r="D73" s="1" t="e">
        <f>IF(OR(Table1[[#This Row],[Type (TX, RX, TRX, Oscillator)]]="TRX",Table1[[#This Row],[Type (TX, RX, TRX, Oscillator)]]="TRX FE"),A73,#N/A)</f>
        <v>#N/A</v>
      </c>
      <c r="E73" s="1" t="e">
        <f>IF(Table1[[#This Row],[Type (TX, RX, TRX, Oscillator)]]="Oscillator",A73,#N/A)</f>
        <v>#N/A</v>
      </c>
      <c r="F73" s="1" t="e">
        <f>IF(Table1[[#This Row],[Type (TX, RX, TRX, Oscillator)]]="Relay",A73,#N/A)</f>
        <v>#N/A</v>
      </c>
      <c r="H73" s="1" t="e">
        <f>IF(Table1[[#This Row],[Process (CMOS_Bulk, CMOS_SOI, CMOS_FinFET, SiGe)]]&lt;&gt;"",Table1[[#This Row],[TX '# of Polarization]]+Table1[[#This Row],[RX '# of Polarization]],#N/A)</f>
        <v>#N/A</v>
      </c>
      <c r="I73" s="1" t="e">
        <f>IF(OR(Table1[[#This Row],[Type (TX, RX, TRX, Oscillator)]]="TX", Table1[[#This Row],[Type (TX, RX, TRX, Oscillator)]]="TX FE"),H73,#N/A)</f>
        <v>#N/A</v>
      </c>
      <c r="J73" s="1" t="e">
        <f>IF(OR(Table1[[#This Row],[Type (TX, RX, TRX, Oscillator)]]="RX", Table1[[#This Row],[Type (TX, RX, TRX, Oscillator)]]="RX FE"),H73,#N/A)</f>
        <v>#N/A</v>
      </c>
      <c r="K73" s="1" t="e">
        <f>IF(OR(Table1[[#This Row],[Type (TX, RX, TRX, Oscillator)]]="TRX",Table1[[#This Row],[Type (TX, RX, TRX, Oscillator)]]="TRX FE"),H73,#N/A)</f>
        <v>#N/A</v>
      </c>
      <c r="L73" s="1" t="e">
        <f>IF(Table1[[#This Row],[Type (TX, RX, TRX, Oscillator)]]="Oscillator",H73,#N/A)</f>
        <v>#N/A</v>
      </c>
      <c r="M73" s="1" t="e">
        <f>IF(Table1[[#This Row],[Type (TX, RX, TRX, Oscillator)]]="Relay",H73,#N/A)</f>
        <v>#N/A</v>
      </c>
    </row>
    <row r="74" spans="1:13" x14ac:dyDescent="0.2">
      <c r="A74" s="1">
        <f>IF(OR(Table1[[#This Row],['# of TX Element per IC]]&lt;&gt;"",Table1[[#This Row],['# of RX Element per IC]]&lt;&gt;""),Table1[[#This Row],['# of TX Element per IC]]+Table1[[#This Row],['# of RX Element per IC]],#N/A)</f>
        <v>8</v>
      </c>
      <c r="B74" s="1" t="e">
        <f>IF(OR(Table1[[#This Row],[Type (TX, RX, TRX, Oscillator)]]="TX", Table1[[#This Row],[Type (TX, RX, TRX, Oscillator)]]="TX FE"),A74,#N/A)</f>
        <v>#N/A</v>
      </c>
      <c r="C74" s="1" t="e">
        <f>IF(OR(Table1[[#This Row],[Type (TX, RX, TRX, Oscillator)]]="RX", Table1[[#This Row],[Type (TX, RX, TRX, Oscillator)]]="RX FE"),A74,#N/A)</f>
        <v>#N/A</v>
      </c>
      <c r="D74" s="1">
        <f>IF(OR(Table1[[#This Row],[Type (TX, RX, TRX, Oscillator)]]="TRX",Table1[[#This Row],[Type (TX, RX, TRX, Oscillator)]]="TRX FE"),A74,#N/A)</f>
        <v>8</v>
      </c>
      <c r="E74" s="1" t="e">
        <f>IF(Table1[[#This Row],[Type (TX, RX, TRX, Oscillator)]]="Oscillator",A74,#N/A)</f>
        <v>#N/A</v>
      </c>
      <c r="F74" s="1" t="e">
        <f>IF(Table1[[#This Row],[Type (TX, RX, TRX, Oscillator)]]="Relay",A74,#N/A)</f>
        <v>#N/A</v>
      </c>
      <c r="H74" s="1">
        <f>IF(Table1[[#This Row],[Process (CMOS_Bulk, CMOS_SOI, CMOS_FinFET, SiGe)]]&lt;&gt;"",Table1[[#This Row],[TX '# of Polarization]]+Table1[[#This Row],[RX '# of Polarization]],#N/A)</f>
        <v>2</v>
      </c>
      <c r="I74" s="1" t="e">
        <f>IF(OR(Table1[[#This Row],[Type (TX, RX, TRX, Oscillator)]]="TX", Table1[[#This Row],[Type (TX, RX, TRX, Oscillator)]]="TX FE"),H74,#N/A)</f>
        <v>#N/A</v>
      </c>
      <c r="J74" s="1" t="e">
        <f>IF(OR(Table1[[#This Row],[Type (TX, RX, TRX, Oscillator)]]="RX", Table1[[#This Row],[Type (TX, RX, TRX, Oscillator)]]="RX FE"),H74,#N/A)</f>
        <v>#N/A</v>
      </c>
      <c r="K74" s="1">
        <f>IF(OR(Table1[[#This Row],[Type (TX, RX, TRX, Oscillator)]]="TRX",Table1[[#This Row],[Type (TX, RX, TRX, Oscillator)]]="TRX FE"),H74,#N/A)</f>
        <v>2</v>
      </c>
      <c r="L74" s="1" t="e">
        <f>IF(Table1[[#This Row],[Type (TX, RX, TRX, Oscillator)]]="Oscillator",H74,#N/A)</f>
        <v>#N/A</v>
      </c>
      <c r="M74" s="1" t="e">
        <f>IF(Table1[[#This Row],[Type (TX, RX, TRX, Oscillator)]]="Relay",H74,#N/A)</f>
        <v>#N/A</v>
      </c>
    </row>
    <row r="75" spans="1:13" x14ac:dyDescent="0.2">
      <c r="A75" s="1">
        <f>IF(OR(Table1[[#This Row],['# of TX Element per IC]]&lt;&gt;"",Table1[[#This Row],['# of RX Element per IC]]&lt;&gt;""),Table1[[#This Row],['# of TX Element per IC]]+Table1[[#This Row],['# of RX Element per IC]],#N/A)</f>
        <v>8</v>
      </c>
      <c r="B75" s="1" t="e">
        <f>IF(OR(Table1[[#This Row],[Type (TX, RX, TRX, Oscillator)]]="TX", Table1[[#This Row],[Type (TX, RX, TRX, Oscillator)]]="TX FE"),A75,#N/A)</f>
        <v>#N/A</v>
      </c>
      <c r="C75" s="1" t="e">
        <f>IF(OR(Table1[[#This Row],[Type (TX, RX, TRX, Oscillator)]]="RX", Table1[[#This Row],[Type (TX, RX, TRX, Oscillator)]]="RX FE"),A75,#N/A)</f>
        <v>#N/A</v>
      </c>
      <c r="D75" s="1">
        <f>IF(OR(Table1[[#This Row],[Type (TX, RX, TRX, Oscillator)]]="TRX",Table1[[#This Row],[Type (TX, RX, TRX, Oscillator)]]="TRX FE"),A75,#N/A)</f>
        <v>8</v>
      </c>
      <c r="E75" s="1" t="e">
        <f>IF(Table1[[#This Row],[Type (TX, RX, TRX, Oscillator)]]="Oscillator",A75,#N/A)</f>
        <v>#N/A</v>
      </c>
      <c r="F75" s="1" t="e">
        <f>IF(Table1[[#This Row],[Type (TX, RX, TRX, Oscillator)]]="Relay",A75,#N/A)</f>
        <v>#N/A</v>
      </c>
      <c r="H75" s="1">
        <f>IF(Table1[[#This Row],[Process (CMOS_Bulk, CMOS_SOI, CMOS_FinFET, SiGe)]]&lt;&gt;"",Table1[[#This Row],[TX '# of Polarization]]+Table1[[#This Row],[RX '# of Polarization]],#N/A)</f>
        <v>2</v>
      </c>
      <c r="I75" s="1" t="e">
        <f>IF(OR(Table1[[#This Row],[Type (TX, RX, TRX, Oscillator)]]="TX", Table1[[#This Row],[Type (TX, RX, TRX, Oscillator)]]="TX FE"),H75,#N/A)</f>
        <v>#N/A</v>
      </c>
      <c r="J75" s="1" t="e">
        <f>IF(OR(Table1[[#This Row],[Type (TX, RX, TRX, Oscillator)]]="RX", Table1[[#This Row],[Type (TX, RX, TRX, Oscillator)]]="RX FE"),H75,#N/A)</f>
        <v>#N/A</v>
      </c>
      <c r="K75" s="1">
        <f>IF(OR(Table1[[#This Row],[Type (TX, RX, TRX, Oscillator)]]="TRX",Table1[[#This Row],[Type (TX, RX, TRX, Oscillator)]]="TRX FE"),H75,#N/A)</f>
        <v>2</v>
      </c>
      <c r="L75" s="1" t="e">
        <f>IF(Table1[[#This Row],[Type (TX, RX, TRX, Oscillator)]]="Oscillator",H75,#N/A)</f>
        <v>#N/A</v>
      </c>
      <c r="M75" s="1" t="e">
        <f>IF(Table1[[#This Row],[Type (TX, RX, TRX, Oscillator)]]="Relay",H75,#N/A)</f>
        <v>#N/A</v>
      </c>
    </row>
    <row r="76" spans="1:13" x14ac:dyDescent="0.2">
      <c r="A76" s="1">
        <f>IF(OR(Table1[[#This Row],['# of TX Element per IC]]&lt;&gt;"",Table1[[#This Row],['# of RX Element per IC]]&lt;&gt;""),Table1[[#This Row],['# of TX Element per IC]]+Table1[[#This Row],['# of RX Element per IC]],#N/A)</f>
        <v>4</v>
      </c>
      <c r="B76" s="1" t="e">
        <f>IF(OR(Table1[[#This Row],[Type (TX, RX, TRX, Oscillator)]]="TX", Table1[[#This Row],[Type (TX, RX, TRX, Oscillator)]]="TX FE"),A76,#N/A)</f>
        <v>#N/A</v>
      </c>
      <c r="C76" s="1">
        <f>IF(OR(Table1[[#This Row],[Type (TX, RX, TRX, Oscillator)]]="RX", Table1[[#This Row],[Type (TX, RX, TRX, Oscillator)]]="RX FE"),A76,#N/A)</f>
        <v>4</v>
      </c>
      <c r="D76" s="1" t="e">
        <f>IF(OR(Table1[[#This Row],[Type (TX, RX, TRX, Oscillator)]]="TRX",Table1[[#This Row],[Type (TX, RX, TRX, Oscillator)]]="TRX FE"),A76,#N/A)</f>
        <v>#N/A</v>
      </c>
      <c r="E76" s="1" t="e">
        <f>IF(Table1[[#This Row],[Type (TX, RX, TRX, Oscillator)]]="Oscillator",A76,#N/A)</f>
        <v>#N/A</v>
      </c>
      <c r="F76" s="1" t="e">
        <f>IF(Table1[[#This Row],[Type (TX, RX, TRX, Oscillator)]]="Relay",A76,#N/A)</f>
        <v>#N/A</v>
      </c>
      <c r="H76" s="1">
        <f>IF(Table1[[#This Row],[Process (CMOS_Bulk, CMOS_SOI, CMOS_FinFET, SiGe)]]&lt;&gt;"",Table1[[#This Row],[TX '# of Polarization]]+Table1[[#This Row],[RX '# of Polarization]],#N/A)</f>
        <v>2</v>
      </c>
      <c r="I76" s="1" t="e">
        <f>IF(OR(Table1[[#This Row],[Type (TX, RX, TRX, Oscillator)]]="TX", Table1[[#This Row],[Type (TX, RX, TRX, Oscillator)]]="TX FE"),H76,#N/A)</f>
        <v>#N/A</v>
      </c>
      <c r="J76" s="1">
        <f>IF(OR(Table1[[#This Row],[Type (TX, RX, TRX, Oscillator)]]="RX", Table1[[#This Row],[Type (TX, RX, TRX, Oscillator)]]="RX FE"),H76,#N/A)</f>
        <v>2</v>
      </c>
      <c r="K76" s="1" t="e">
        <f>IF(OR(Table1[[#This Row],[Type (TX, RX, TRX, Oscillator)]]="TRX",Table1[[#This Row],[Type (TX, RX, TRX, Oscillator)]]="TRX FE"),H76,#N/A)</f>
        <v>#N/A</v>
      </c>
      <c r="L76" s="1" t="e">
        <f>IF(Table1[[#This Row],[Type (TX, RX, TRX, Oscillator)]]="Oscillator",H76,#N/A)</f>
        <v>#N/A</v>
      </c>
      <c r="M76" s="1" t="e">
        <f>IF(Table1[[#This Row],[Type (TX, RX, TRX, Oscillator)]]="Relay",H76,#N/A)</f>
        <v>#N/A</v>
      </c>
    </row>
    <row r="77" spans="1:13" x14ac:dyDescent="0.2">
      <c r="A77" s="1">
        <f>IF(OR(Table1[[#This Row],['# of TX Element per IC]]&lt;&gt;"",Table1[[#This Row],['# of RX Element per IC]]&lt;&gt;""),Table1[[#This Row],['# of TX Element per IC]]+Table1[[#This Row],['# of RX Element per IC]],#N/A)</f>
        <v>8</v>
      </c>
      <c r="B77" s="1" t="e">
        <f>IF(OR(Table1[[#This Row],[Type (TX, RX, TRX, Oscillator)]]="TX", Table1[[#This Row],[Type (TX, RX, TRX, Oscillator)]]="TX FE"),A77,#N/A)</f>
        <v>#N/A</v>
      </c>
      <c r="C77" s="1">
        <f>IF(OR(Table1[[#This Row],[Type (TX, RX, TRX, Oscillator)]]="RX", Table1[[#This Row],[Type (TX, RX, TRX, Oscillator)]]="RX FE"),A77,#N/A)</f>
        <v>8</v>
      </c>
      <c r="D77" s="1" t="e">
        <f>IF(OR(Table1[[#This Row],[Type (TX, RX, TRX, Oscillator)]]="TRX",Table1[[#This Row],[Type (TX, RX, TRX, Oscillator)]]="TRX FE"),A77,#N/A)</f>
        <v>#N/A</v>
      </c>
      <c r="E77" s="1" t="e">
        <f>IF(Table1[[#This Row],[Type (TX, RX, TRX, Oscillator)]]="Oscillator",A77,#N/A)</f>
        <v>#N/A</v>
      </c>
      <c r="F77" s="1" t="e">
        <f>IF(Table1[[#This Row],[Type (TX, RX, TRX, Oscillator)]]="Relay",A77,#N/A)</f>
        <v>#N/A</v>
      </c>
      <c r="H77" s="1">
        <f>IF(Table1[[#This Row],[Process (CMOS_Bulk, CMOS_SOI, CMOS_FinFET, SiGe)]]&lt;&gt;"",Table1[[#This Row],[TX '# of Polarization]]+Table1[[#This Row],[RX '# of Polarization]],#N/A)</f>
        <v>1</v>
      </c>
      <c r="I77" s="1" t="e">
        <f>IF(OR(Table1[[#This Row],[Type (TX, RX, TRX, Oscillator)]]="TX", Table1[[#This Row],[Type (TX, RX, TRX, Oscillator)]]="TX FE"),H77,#N/A)</f>
        <v>#N/A</v>
      </c>
      <c r="J77" s="1">
        <f>IF(OR(Table1[[#This Row],[Type (TX, RX, TRX, Oscillator)]]="RX", Table1[[#This Row],[Type (TX, RX, TRX, Oscillator)]]="RX FE"),H77,#N/A)</f>
        <v>1</v>
      </c>
      <c r="K77" s="1" t="e">
        <f>IF(OR(Table1[[#This Row],[Type (TX, RX, TRX, Oscillator)]]="TRX",Table1[[#This Row],[Type (TX, RX, TRX, Oscillator)]]="TRX FE"),H77,#N/A)</f>
        <v>#N/A</v>
      </c>
      <c r="L77" s="1" t="e">
        <f>IF(Table1[[#This Row],[Type (TX, RX, TRX, Oscillator)]]="Oscillator",H77,#N/A)</f>
        <v>#N/A</v>
      </c>
      <c r="M77" s="1" t="e">
        <f>IF(Table1[[#This Row],[Type (TX, RX, TRX, Oscillator)]]="Relay",H77,#N/A)</f>
        <v>#N/A</v>
      </c>
    </row>
    <row r="78" spans="1:13" x14ac:dyDescent="0.2">
      <c r="A78" s="1">
        <f>IF(OR(Table1[[#This Row],['# of TX Element per IC]]&lt;&gt;"",Table1[[#This Row],['# of RX Element per IC]]&lt;&gt;""),Table1[[#This Row],['# of TX Element per IC]]+Table1[[#This Row],['# of RX Element per IC]],#N/A)</f>
        <v>4</v>
      </c>
      <c r="B78" s="1">
        <f>IF(OR(Table1[[#This Row],[Type (TX, RX, TRX, Oscillator)]]="TX", Table1[[#This Row],[Type (TX, RX, TRX, Oscillator)]]="TX FE"),A78,#N/A)</f>
        <v>4</v>
      </c>
      <c r="C78" s="1" t="e">
        <f>IF(OR(Table1[[#This Row],[Type (TX, RX, TRX, Oscillator)]]="RX", Table1[[#This Row],[Type (TX, RX, TRX, Oscillator)]]="RX FE"),A78,#N/A)</f>
        <v>#N/A</v>
      </c>
      <c r="D78" s="1" t="e">
        <f>IF(OR(Table1[[#This Row],[Type (TX, RX, TRX, Oscillator)]]="TRX",Table1[[#This Row],[Type (TX, RX, TRX, Oscillator)]]="TRX FE"),A78,#N/A)</f>
        <v>#N/A</v>
      </c>
      <c r="E78" s="1" t="e">
        <f>IF(Table1[[#This Row],[Type (TX, RX, TRX, Oscillator)]]="Oscillator",A78,#N/A)</f>
        <v>#N/A</v>
      </c>
      <c r="F78" s="1" t="e">
        <f>IF(Table1[[#This Row],[Type (TX, RX, TRX, Oscillator)]]="Relay",A78,#N/A)</f>
        <v>#N/A</v>
      </c>
      <c r="H78" s="1">
        <f>IF(Table1[[#This Row],[Process (CMOS_Bulk, CMOS_SOI, CMOS_FinFET, SiGe)]]&lt;&gt;"",Table1[[#This Row],[TX '# of Polarization]]+Table1[[#This Row],[RX '# of Polarization]],#N/A)</f>
        <v>2</v>
      </c>
      <c r="I78" s="1">
        <f>IF(OR(Table1[[#This Row],[Type (TX, RX, TRX, Oscillator)]]="TX", Table1[[#This Row],[Type (TX, RX, TRX, Oscillator)]]="TX FE"),H78,#N/A)</f>
        <v>2</v>
      </c>
      <c r="J78" s="1" t="e">
        <f>IF(OR(Table1[[#This Row],[Type (TX, RX, TRX, Oscillator)]]="RX", Table1[[#This Row],[Type (TX, RX, TRX, Oscillator)]]="RX FE"),H78,#N/A)</f>
        <v>#N/A</v>
      </c>
      <c r="K78" s="1" t="e">
        <f>IF(OR(Table1[[#This Row],[Type (TX, RX, TRX, Oscillator)]]="TRX",Table1[[#This Row],[Type (TX, RX, TRX, Oscillator)]]="TRX FE"),H78,#N/A)</f>
        <v>#N/A</v>
      </c>
      <c r="L78" s="1" t="e">
        <f>IF(Table1[[#This Row],[Type (TX, RX, TRX, Oscillator)]]="Oscillator",H78,#N/A)</f>
        <v>#N/A</v>
      </c>
      <c r="M78" s="1" t="e">
        <f>IF(Table1[[#This Row],[Type (TX, RX, TRX, Oscillator)]]="Relay",H78,#N/A)</f>
        <v>#N/A</v>
      </c>
    </row>
    <row r="79" spans="1:13" x14ac:dyDescent="0.2">
      <c r="A79" s="1">
        <f>IF(OR(Table1[[#This Row],['# of TX Element per IC]]&lt;&gt;"",Table1[[#This Row],['# of RX Element per IC]]&lt;&gt;""),Table1[[#This Row],['# of TX Element per IC]]+Table1[[#This Row],['# of RX Element per IC]],#N/A)</f>
        <v>4</v>
      </c>
      <c r="B79" s="1" t="e">
        <f>IF(OR(Table1[[#This Row],[Type (TX, RX, TRX, Oscillator)]]="TX", Table1[[#This Row],[Type (TX, RX, TRX, Oscillator)]]="TX FE"),A79,#N/A)</f>
        <v>#N/A</v>
      </c>
      <c r="C79" s="1">
        <f>IF(OR(Table1[[#This Row],[Type (TX, RX, TRX, Oscillator)]]="RX", Table1[[#This Row],[Type (TX, RX, TRX, Oscillator)]]="RX FE"),A79,#N/A)</f>
        <v>4</v>
      </c>
      <c r="D79" s="1" t="e">
        <f>IF(OR(Table1[[#This Row],[Type (TX, RX, TRX, Oscillator)]]="TRX",Table1[[#This Row],[Type (TX, RX, TRX, Oscillator)]]="TRX FE"),A79,#N/A)</f>
        <v>#N/A</v>
      </c>
      <c r="E79" s="1" t="e">
        <f>IF(Table1[[#This Row],[Type (TX, RX, TRX, Oscillator)]]="Oscillator",A79,#N/A)</f>
        <v>#N/A</v>
      </c>
      <c r="F79" s="1" t="e">
        <f>IF(Table1[[#This Row],[Type (TX, RX, TRX, Oscillator)]]="Relay",A79,#N/A)</f>
        <v>#N/A</v>
      </c>
      <c r="H79" s="1">
        <f>IF(Table1[[#This Row],[Process (CMOS_Bulk, CMOS_SOI, CMOS_FinFET, SiGe)]]&lt;&gt;"",Table1[[#This Row],[TX '# of Polarization]]+Table1[[#This Row],[RX '# of Polarization]],#N/A)</f>
        <v>2</v>
      </c>
      <c r="I79" s="1" t="e">
        <f>IF(OR(Table1[[#This Row],[Type (TX, RX, TRX, Oscillator)]]="TX", Table1[[#This Row],[Type (TX, RX, TRX, Oscillator)]]="TX FE"),H79,#N/A)</f>
        <v>#N/A</v>
      </c>
      <c r="J79" s="1">
        <f>IF(OR(Table1[[#This Row],[Type (TX, RX, TRX, Oscillator)]]="RX", Table1[[#This Row],[Type (TX, RX, TRX, Oscillator)]]="RX FE"),H79,#N/A)</f>
        <v>2</v>
      </c>
      <c r="K79" s="1" t="e">
        <f>IF(OR(Table1[[#This Row],[Type (TX, RX, TRX, Oscillator)]]="TRX",Table1[[#This Row],[Type (TX, RX, TRX, Oscillator)]]="TRX FE"),H79,#N/A)</f>
        <v>#N/A</v>
      </c>
      <c r="L79" s="1" t="e">
        <f>IF(Table1[[#This Row],[Type (TX, RX, TRX, Oscillator)]]="Oscillator",H79,#N/A)</f>
        <v>#N/A</v>
      </c>
      <c r="M79" s="1" t="e">
        <f>IF(Table1[[#This Row],[Type (TX, RX, TRX, Oscillator)]]="Relay",H79,#N/A)</f>
        <v>#N/A</v>
      </c>
    </row>
    <row r="80" spans="1:13" x14ac:dyDescent="0.2">
      <c r="A80" s="1">
        <f>IF(OR(Table1[[#This Row],['# of TX Element per IC]]&lt;&gt;"",Table1[[#This Row],['# of RX Element per IC]]&lt;&gt;""),Table1[[#This Row],['# of TX Element per IC]]+Table1[[#This Row],['# of RX Element per IC]],#N/A)</f>
        <v>16</v>
      </c>
      <c r="B80" s="1" t="e">
        <f>IF(OR(Table1[[#This Row],[Type (TX, RX, TRX, Oscillator)]]="TX", Table1[[#This Row],[Type (TX, RX, TRX, Oscillator)]]="TX FE"),A80,#N/A)</f>
        <v>#N/A</v>
      </c>
      <c r="C80" s="1" t="e">
        <f>IF(OR(Table1[[#This Row],[Type (TX, RX, TRX, Oscillator)]]="RX", Table1[[#This Row],[Type (TX, RX, TRX, Oscillator)]]="RX FE"),A80,#N/A)</f>
        <v>#N/A</v>
      </c>
      <c r="D80" s="1" t="e">
        <f>IF(OR(Table1[[#This Row],[Type (TX, RX, TRX, Oscillator)]]="TRX",Table1[[#This Row],[Type (TX, RX, TRX, Oscillator)]]="TRX FE"),A80,#N/A)</f>
        <v>#N/A</v>
      </c>
      <c r="E80" s="1">
        <f>IF(Table1[[#This Row],[Type (TX, RX, TRX, Oscillator)]]="Oscillator",A80,#N/A)</f>
        <v>16</v>
      </c>
      <c r="F80" s="1" t="e">
        <f>IF(Table1[[#This Row],[Type (TX, RX, TRX, Oscillator)]]="Relay",A80,#N/A)</f>
        <v>#N/A</v>
      </c>
      <c r="H80" s="1">
        <f>IF(Table1[[#This Row],[Process (CMOS_Bulk, CMOS_SOI, CMOS_FinFET, SiGe)]]&lt;&gt;"",Table1[[#This Row],[TX '# of Polarization]]+Table1[[#This Row],[RX '# of Polarization]],#N/A)</f>
        <v>1</v>
      </c>
      <c r="I80" s="1" t="e">
        <f>IF(OR(Table1[[#This Row],[Type (TX, RX, TRX, Oscillator)]]="TX", Table1[[#This Row],[Type (TX, RX, TRX, Oscillator)]]="TX FE"),H80,#N/A)</f>
        <v>#N/A</v>
      </c>
      <c r="J80" s="1" t="e">
        <f>IF(OR(Table1[[#This Row],[Type (TX, RX, TRX, Oscillator)]]="RX", Table1[[#This Row],[Type (TX, RX, TRX, Oscillator)]]="RX FE"),H80,#N/A)</f>
        <v>#N/A</v>
      </c>
      <c r="K80" s="1" t="e">
        <f>IF(OR(Table1[[#This Row],[Type (TX, RX, TRX, Oscillator)]]="TRX",Table1[[#This Row],[Type (TX, RX, TRX, Oscillator)]]="TRX FE"),H80,#N/A)</f>
        <v>#N/A</v>
      </c>
      <c r="L80" s="1">
        <f>IF(Table1[[#This Row],[Type (TX, RX, TRX, Oscillator)]]="Oscillator",H80,#N/A)</f>
        <v>1</v>
      </c>
      <c r="M80" s="1" t="e">
        <f>IF(Table1[[#This Row],[Type (TX, RX, TRX, Oscillator)]]="Relay",H80,#N/A)</f>
        <v>#N/A</v>
      </c>
    </row>
    <row r="81" spans="1:13" x14ac:dyDescent="0.2">
      <c r="A81" s="1">
        <f>IF(OR(Table1[[#This Row],['# of TX Element per IC]]&lt;&gt;"",Table1[[#This Row],['# of RX Element per IC]]&lt;&gt;""),Table1[[#This Row],['# of TX Element per IC]]+Table1[[#This Row],['# of RX Element per IC]],#N/A)</f>
        <v>8</v>
      </c>
      <c r="B81" s="1">
        <f>IF(OR(Table1[[#This Row],[Type (TX, RX, TRX, Oscillator)]]="TX", Table1[[#This Row],[Type (TX, RX, TRX, Oscillator)]]="TX FE"),A81,#N/A)</f>
        <v>8</v>
      </c>
      <c r="C81" s="1" t="e">
        <f>IF(OR(Table1[[#This Row],[Type (TX, RX, TRX, Oscillator)]]="RX", Table1[[#This Row],[Type (TX, RX, TRX, Oscillator)]]="RX FE"),A81,#N/A)</f>
        <v>#N/A</v>
      </c>
      <c r="D81" s="1" t="e">
        <f>IF(OR(Table1[[#This Row],[Type (TX, RX, TRX, Oscillator)]]="TRX",Table1[[#This Row],[Type (TX, RX, TRX, Oscillator)]]="TRX FE"),A81,#N/A)</f>
        <v>#N/A</v>
      </c>
      <c r="E81" s="1" t="e">
        <f>IF(Table1[[#This Row],[Type (TX, RX, TRX, Oscillator)]]="Oscillator",A81,#N/A)</f>
        <v>#N/A</v>
      </c>
      <c r="F81" s="1" t="e">
        <f>IF(Table1[[#This Row],[Type (TX, RX, TRX, Oscillator)]]="Relay",A81,#N/A)</f>
        <v>#N/A</v>
      </c>
      <c r="H81" s="1">
        <f>IF(Table1[[#This Row],[Process (CMOS_Bulk, CMOS_SOI, CMOS_FinFET, SiGe)]]&lt;&gt;"",Table1[[#This Row],[TX '# of Polarization]]+Table1[[#This Row],[RX '# of Polarization]],#N/A)</f>
        <v>1</v>
      </c>
      <c r="I81" s="1">
        <f>IF(OR(Table1[[#This Row],[Type (TX, RX, TRX, Oscillator)]]="TX", Table1[[#This Row],[Type (TX, RX, TRX, Oscillator)]]="TX FE"),H81,#N/A)</f>
        <v>1</v>
      </c>
      <c r="J81" s="1" t="e">
        <f>IF(OR(Table1[[#This Row],[Type (TX, RX, TRX, Oscillator)]]="RX", Table1[[#This Row],[Type (TX, RX, TRX, Oscillator)]]="RX FE"),H81,#N/A)</f>
        <v>#N/A</v>
      </c>
      <c r="K81" s="1" t="e">
        <f>IF(OR(Table1[[#This Row],[Type (TX, RX, TRX, Oscillator)]]="TRX",Table1[[#This Row],[Type (TX, RX, TRX, Oscillator)]]="TRX FE"),H81,#N/A)</f>
        <v>#N/A</v>
      </c>
      <c r="L81" s="1" t="e">
        <f>IF(Table1[[#This Row],[Type (TX, RX, TRX, Oscillator)]]="Oscillator",H81,#N/A)</f>
        <v>#N/A</v>
      </c>
      <c r="M81" s="1" t="e">
        <f>IF(Table1[[#This Row],[Type (TX, RX, TRX, Oscillator)]]="Relay",H81,#N/A)</f>
        <v>#N/A</v>
      </c>
    </row>
    <row r="82" spans="1:13" x14ac:dyDescent="0.2">
      <c r="A82" s="1">
        <f>IF(OR(Table1[[#This Row],['# of TX Element per IC]]&lt;&gt;"",Table1[[#This Row],['# of RX Element per IC]]&lt;&gt;""),Table1[[#This Row],['# of TX Element per IC]]+Table1[[#This Row],['# of RX Element per IC]],#N/A)</f>
        <v>4</v>
      </c>
      <c r="B82" s="1">
        <f>IF(OR(Table1[[#This Row],[Type (TX, RX, TRX, Oscillator)]]="TX", Table1[[#This Row],[Type (TX, RX, TRX, Oscillator)]]="TX FE"),A82,#N/A)</f>
        <v>4</v>
      </c>
      <c r="C82" s="1" t="e">
        <f>IF(OR(Table1[[#This Row],[Type (TX, RX, TRX, Oscillator)]]="RX", Table1[[#This Row],[Type (TX, RX, TRX, Oscillator)]]="RX FE"),A82,#N/A)</f>
        <v>#N/A</v>
      </c>
      <c r="D82" s="1" t="e">
        <f>IF(OR(Table1[[#This Row],[Type (TX, RX, TRX, Oscillator)]]="TRX",Table1[[#This Row],[Type (TX, RX, TRX, Oscillator)]]="TRX FE"),A82,#N/A)</f>
        <v>#N/A</v>
      </c>
      <c r="E82" s="1" t="e">
        <f>IF(Table1[[#This Row],[Type (TX, RX, TRX, Oscillator)]]="Oscillator",A82,#N/A)</f>
        <v>#N/A</v>
      </c>
      <c r="F82" s="1" t="e">
        <f>IF(Table1[[#This Row],[Type (TX, RX, TRX, Oscillator)]]="Relay",A82,#N/A)</f>
        <v>#N/A</v>
      </c>
      <c r="H82" s="1">
        <f>IF(Table1[[#This Row],[Process (CMOS_Bulk, CMOS_SOI, CMOS_FinFET, SiGe)]]&lt;&gt;"",Table1[[#This Row],[TX '# of Polarization]]+Table1[[#This Row],[RX '# of Polarization]],#N/A)</f>
        <v>1</v>
      </c>
      <c r="I82" s="1">
        <f>IF(OR(Table1[[#This Row],[Type (TX, RX, TRX, Oscillator)]]="TX", Table1[[#This Row],[Type (TX, RX, TRX, Oscillator)]]="TX FE"),H82,#N/A)</f>
        <v>1</v>
      </c>
      <c r="J82" s="1" t="e">
        <f>IF(OR(Table1[[#This Row],[Type (TX, RX, TRX, Oscillator)]]="RX", Table1[[#This Row],[Type (TX, RX, TRX, Oscillator)]]="RX FE"),H82,#N/A)</f>
        <v>#N/A</v>
      </c>
      <c r="K82" s="1" t="e">
        <f>IF(OR(Table1[[#This Row],[Type (TX, RX, TRX, Oscillator)]]="TRX",Table1[[#This Row],[Type (TX, RX, TRX, Oscillator)]]="TRX FE"),H82,#N/A)</f>
        <v>#N/A</v>
      </c>
      <c r="L82" s="1" t="e">
        <f>IF(Table1[[#This Row],[Type (TX, RX, TRX, Oscillator)]]="Oscillator",H82,#N/A)</f>
        <v>#N/A</v>
      </c>
      <c r="M82" s="1" t="e">
        <f>IF(Table1[[#This Row],[Type (TX, RX, TRX, Oscillator)]]="Relay",H82,#N/A)</f>
        <v>#N/A</v>
      </c>
    </row>
    <row r="83" spans="1:13" x14ac:dyDescent="0.2">
      <c r="A83" s="1">
        <f>IF(OR(Table1[[#This Row],['# of TX Element per IC]]&lt;&gt;"",Table1[[#This Row],['# of RX Element per IC]]&lt;&gt;""),Table1[[#This Row],['# of TX Element per IC]]+Table1[[#This Row],['# of RX Element per IC]],#N/A)</f>
        <v>4</v>
      </c>
      <c r="B83" s="1">
        <f>IF(OR(Table1[[#This Row],[Type (TX, RX, TRX, Oscillator)]]="TX", Table1[[#This Row],[Type (TX, RX, TRX, Oscillator)]]="TX FE"),A83,#N/A)</f>
        <v>4</v>
      </c>
      <c r="C83" s="1" t="e">
        <f>IF(OR(Table1[[#This Row],[Type (TX, RX, TRX, Oscillator)]]="RX", Table1[[#This Row],[Type (TX, RX, TRX, Oscillator)]]="RX FE"),A83,#N/A)</f>
        <v>#N/A</v>
      </c>
      <c r="D83" s="1" t="e">
        <f>IF(OR(Table1[[#This Row],[Type (TX, RX, TRX, Oscillator)]]="TRX",Table1[[#This Row],[Type (TX, RX, TRX, Oscillator)]]="TRX FE"),A83,#N/A)</f>
        <v>#N/A</v>
      </c>
      <c r="E83" s="1" t="e">
        <f>IF(Table1[[#This Row],[Type (TX, RX, TRX, Oscillator)]]="Oscillator",A83,#N/A)</f>
        <v>#N/A</v>
      </c>
      <c r="F83" s="1" t="e">
        <f>IF(Table1[[#This Row],[Type (TX, RX, TRX, Oscillator)]]="Relay",A83,#N/A)</f>
        <v>#N/A</v>
      </c>
      <c r="H83" s="1">
        <f>IF(Table1[[#This Row],[Process (CMOS_Bulk, CMOS_SOI, CMOS_FinFET, SiGe)]]&lt;&gt;"",Table1[[#This Row],[TX '# of Polarization]]+Table1[[#This Row],[RX '# of Polarization]],#N/A)</f>
        <v>1</v>
      </c>
      <c r="I83" s="1">
        <f>IF(OR(Table1[[#This Row],[Type (TX, RX, TRX, Oscillator)]]="TX", Table1[[#This Row],[Type (TX, RX, TRX, Oscillator)]]="TX FE"),H83,#N/A)</f>
        <v>1</v>
      </c>
      <c r="J83" s="1" t="e">
        <f>IF(OR(Table1[[#This Row],[Type (TX, RX, TRX, Oscillator)]]="RX", Table1[[#This Row],[Type (TX, RX, TRX, Oscillator)]]="RX FE"),H83,#N/A)</f>
        <v>#N/A</v>
      </c>
      <c r="K83" s="1" t="e">
        <f>IF(OR(Table1[[#This Row],[Type (TX, RX, TRX, Oscillator)]]="TRX",Table1[[#This Row],[Type (TX, RX, TRX, Oscillator)]]="TRX FE"),H83,#N/A)</f>
        <v>#N/A</v>
      </c>
      <c r="L83" s="1" t="e">
        <f>IF(Table1[[#This Row],[Type (TX, RX, TRX, Oscillator)]]="Oscillator",H83,#N/A)</f>
        <v>#N/A</v>
      </c>
      <c r="M83" s="1" t="e">
        <f>IF(Table1[[#This Row],[Type (TX, RX, TRX, Oscillator)]]="Relay",H83,#N/A)</f>
        <v>#N/A</v>
      </c>
    </row>
    <row r="84" spans="1:13" x14ac:dyDescent="0.2">
      <c r="A84" s="1">
        <f>IF(OR(Table1[[#This Row],['# of TX Element per IC]]&lt;&gt;"",Table1[[#This Row],['# of RX Element per IC]]&lt;&gt;""),Table1[[#This Row],['# of TX Element per IC]]+Table1[[#This Row],['# of RX Element per IC]],#N/A)</f>
        <v>4</v>
      </c>
      <c r="B84" s="1">
        <f>IF(OR(Table1[[#This Row],[Type (TX, RX, TRX, Oscillator)]]="TX", Table1[[#This Row],[Type (TX, RX, TRX, Oscillator)]]="TX FE"),A84,#N/A)</f>
        <v>4</v>
      </c>
      <c r="C84" s="1" t="e">
        <f>IF(OR(Table1[[#This Row],[Type (TX, RX, TRX, Oscillator)]]="RX", Table1[[#This Row],[Type (TX, RX, TRX, Oscillator)]]="RX FE"),A84,#N/A)</f>
        <v>#N/A</v>
      </c>
      <c r="D84" s="1" t="e">
        <f>IF(OR(Table1[[#This Row],[Type (TX, RX, TRX, Oscillator)]]="TRX",Table1[[#This Row],[Type (TX, RX, TRX, Oscillator)]]="TRX FE"),A84,#N/A)</f>
        <v>#N/A</v>
      </c>
      <c r="E84" s="1" t="e">
        <f>IF(Table1[[#This Row],[Type (TX, RX, TRX, Oscillator)]]="Oscillator",A84,#N/A)</f>
        <v>#N/A</v>
      </c>
      <c r="F84" s="1" t="e">
        <f>IF(Table1[[#This Row],[Type (TX, RX, TRX, Oscillator)]]="Relay",A84,#N/A)</f>
        <v>#N/A</v>
      </c>
      <c r="H84" s="1">
        <f>IF(Table1[[#This Row],[Process (CMOS_Bulk, CMOS_SOI, CMOS_FinFET, SiGe)]]&lt;&gt;"",Table1[[#This Row],[TX '# of Polarization]]+Table1[[#This Row],[RX '# of Polarization]],#N/A)</f>
        <v>1</v>
      </c>
      <c r="I84" s="1">
        <f>IF(OR(Table1[[#This Row],[Type (TX, RX, TRX, Oscillator)]]="TX", Table1[[#This Row],[Type (TX, RX, TRX, Oscillator)]]="TX FE"),H84,#N/A)</f>
        <v>1</v>
      </c>
      <c r="J84" s="1" t="e">
        <f>IF(OR(Table1[[#This Row],[Type (TX, RX, TRX, Oscillator)]]="RX", Table1[[#This Row],[Type (TX, RX, TRX, Oscillator)]]="RX FE"),H84,#N/A)</f>
        <v>#N/A</v>
      </c>
      <c r="K84" s="1" t="e">
        <f>IF(OR(Table1[[#This Row],[Type (TX, RX, TRX, Oscillator)]]="TRX",Table1[[#This Row],[Type (TX, RX, TRX, Oscillator)]]="TRX FE"),H84,#N/A)</f>
        <v>#N/A</v>
      </c>
      <c r="L84" s="1" t="e">
        <f>IF(Table1[[#This Row],[Type (TX, RX, TRX, Oscillator)]]="Oscillator",H84,#N/A)</f>
        <v>#N/A</v>
      </c>
      <c r="M84" s="1" t="e">
        <f>IF(Table1[[#This Row],[Type (TX, RX, TRX, Oscillator)]]="Relay",H84,#N/A)</f>
        <v>#N/A</v>
      </c>
    </row>
    <row r="85" spans="1:13" x14ac:dyDescent="0.2">
      <c r="A85" s="1">
        <f>IF(OR(Table1[[#This Row],['# of TX Element per IC]]&lt;&gt;"",Table1[[#This Row],['# of RX Element per IC]]&lt;&gt;""),Table1[[#This Row],['# of TX Element per IC]]+Table1[[#This Row],['# of RX Element per IC]],#N/A)</f>
        <v>16</v>
      </c>
      <c r="B85" s="1" t="e">
        <f>IF(OR(Table1[[#This Row],[Type (TX, RX, TRX, Oscillator)]]="TX", Table1[[#This Row],[Type (TX, RX, TRX, Oscillator)]]="TX FE"),A85,#N/A)</f>
        <v>#N/A</v>
      </c>
      <c r="C85" s="1" t="e">
        <f>IF(OR(Table1[[#This Row],[Type (TX, RX, TRX, Oscillator)]]="RX", Table1[[#This Row],[Type (TX, RX, TRX, Oscillator)]]="RX FE"),A85,#N/A)</f>
        <v>#N/A</v>
      </c>
      <c r="D85" s="1">
        <f>IF(OR(Table1[[#This Row],[Type (TX, RX, TRX, Oscillator)]]="TRX",Table1[[#This Row],[Type (TX, RX, TRX, Oscillator)]]="TRX FE"),A85,#N/A)</f>
        <v>16</v>
      </c>
      <c r="E85" s="1" t="e">
        <f>IF(Table1[[#This Row],[Type (TX, RX, TRX, Oscillator)]]="Oscillator",A85,#N/A)</f>
        <v>#N/A</v>
      </c>
      <c r="F85" s="1" t="e">
        <f>IF(Table1[[#This Row],[Type (TX, RX, TRX, Oscillator)]]="Relay",A85,#N/A)</f>
        <v>#N/A</v>
      </c>
      <c r="H85" s="1">
        <f>IF(Table1[[#This Row],[Process (CMOS_Bulk, CMOS_SOI, CMOS_FinFET, SiGe)]]&lt;&gt;"",Table1[[#This Row],[TX '# of Polarization]]+Table1[[#This Row],[RX '# of Polarization]],#N/A)</f>
        <v>2</v>
      </c>
      <c r="I85" s="1" t="e">
        <f>IF(OR(Table1[[#This Row],[Type (TX, RX, TRX, Oscillator)]]="TX", Table1[[#This Row],[Type (TX, RX, TRX, Oscillator)]]="TX FE"),H85,#N/A)</f>
        <v>#N/A</v>
      </c>
      <c r="J85" s="1" t="e">
        <f>IF(OR(Table1[[#This Row],[Type (TX, RX, TRX, Oscillator)]]="RX", Table1[[#This Row],[Type (TX, RX, TRX, Oscillator)]]="RX FE"),H85,#N/A)</f>
        <v>#N/A</v>
      </c>
      <c r="K85" s="1">
        <f>IF(OR(Table1[[#This Row],[Type (TX, RX, TRX, Oscillator)]]="TRX",Table1[[#This Row],[Type (TX, RX, TRX, Oscillator)]]="TRX FE"),H85,#N/A)</f>
        <v>2</v>
      </c>
      <c r="L85" s="1" t="e">
        <f>IF(Table1[[#This Row],[Type (TX, RX, TRX, Oscillator)]]="Oscillator",H85,#N/A)</f>
        <v>#N/A</v>
      </c>
      <c r="M85" s="1" t="e">
        <f>IF(Table1[[#This Row],[Type (TX, RX, TRX, Oscillator)]]="Relay",H85,#N/A)</f>
        <v>#N/A</v>
      </c>
    </row>
    <row r="86" spans="1:13" x14ac:dyDescent="0.2">
      <c r="A86" s="1">
        <f>IF(OR(Table1[[#This Row],['# of TX Element per IC]]&lt;&gt;"",Table1[[#This Row],['# of RX Element per IC]]&lt;&gt;""),Table1[[#This Row],['# of TX Element per IC]]+Table1[[#This Row],['# of RX Element per IC]],#N/A)</f>
        <v>9</v>
      </c>
      <c r="B86" s="1" t="e">
        <f>IF(OR(Table1[[#This Row],[Type (TX, RX, TRX, Oscillator)]]="TX", Table1[[#This Row],[Type (TX, RX, TRX, Oscillator)]]="TX FE"),A86,#N/A)</f>
        <v>#N/A</v>
      </c>
      <c r="C86" s="1" t="e">
        <f>IF(OR(Table1[[#This Row],[Type (TX, RX, TRX, Oscillator)]]="RX", Table1[[#This Row],[Type (TX, RX, TRX, Oscillator)]]="RX FE"),A86,#N/A)</f>
        <v>#N/A</v>
      </c>
      <c r="D86" s="1" t="e">
        <f>IF(OR(Table1[[#This Row],[Type (TX, RX, TRX, Oscillator)]]="TRX",Table1[[#This Row],[Type (TX, RX, TRX, Oscillator)]]="TRX FE"),A86,#N/A)</f>
        <v>#N/A</v>
      </c>
      <c r="E86" s="1" t="e">
        <f>IF(Table1[[#This Row],[Type (TX, RX, TRX, Oscillator)]]="Oscillator",A86,#N/A)</f>
        <v>#N/A</v>
      </c>
      <c r="F86" s="1">
        <f>IF(Table1[[#This Row],[Type (TX, RX, TRX, Oscillator)]]="Relay",A86,#N/A)</f>
        <v>9</v>
      </c>
      <c r="H86" s="1">
        <f>IF(Table1[[#This Row],[Process (CMOS_Bulk, CMOS_SOI, CMOS_FinFET, SiGe)]]&lt;&gt;"",Table1[[#This Row],[TX '# of Polarization]]+Table1[[#This Row],[RX '# of Polarization]],#N/A)</f>
        <v>2</v>
      </c>
      <c r="I86" s="1" t="e">
        <f>IF(OR(Table1[[#This Row],[Type (TX, RX, TRX, Oscillator)]]="TX", Table1[[#This Row],[Type (TX, RX, TRX, Oscillator)]]="TX FE"),H86,#N/A)</f>
        <v>#N/A</v>
      </c>
      <c r="J86" s="1" t="e">
        <f>IF(OR(Table1[[#This Row],[Type (TX, RX, TRX, Oscillator)]]="RX", Table1[[#This Row],[Type (TX, RX, TRX, Oscillator)]]="RX FE"),H86,#N/A)</f>
        <v>#N/A</v>
      </c>
      <c r="K86" s="1" t="e">
        <f>IF(OR(Table1[[#This Row],[Type (TX, RX, TRX, Oscillator)]]="TRX",Table1[[#This Row],[Type (TX, RX, TRX, Oscillator)]]="TRX FE"),H86,#N/A)</f>
        <v>#N/A</v>
      </c>
      <c r="L86" s="1" t="e">
        <f>IF(Table1[[#This Row],[Type (TX, RX, TRX, Oscillator)]]="Oscillator",H86,#N/A)</f>
        <v>#N/A</v>
      </c>
      <c r="M86" s="1">
        <f>IF(Table1[[#This Row],[Type (TX, RX, TRX, Oscillator)]]="Relay",H86,#N/A)</f>
        <v>2</v>
      </c>
    </row>
    <row r="87" spans="1:13" x14ac:dyDescent="0.2">
      <c r="A87" s="1">
        <f>IF(OR(Table1[[#This Row],['# of TX Element per IC]]&lt;&gt;"",Table1[[#This Row],['# of RX Element per IC]]&lt;&gt;""),Table1[[#This Row],['# of TX Element per IC]]+Table1[[#This Row],['# of RX Element per IC]],#N/A)</f>
        <v>4</v>
      </c>
      <c r="B87" s="1" t="e">
        <f>IF(OR(Table1[[#This Row],[Type (TX, RX, TRX, Oscillator)]]="TX", Table1[[#This Row],[Type (TX, RX, TRX, Oscillator)]]="TX FE"),A87,#N/A)</f>
        <v>#N/A</v>
      </c>
      <c r="C87" s="1">
        <f>IF(OR(Table1[[#This Row],[Type (TX, RX, TRX, Oscillator)]]="RX", Table1[[#This Row],[Type (TX, RX, TRX, Oscillator)]]="RX FE"),A87,#N/A)</f>
        <v>4</v>
      </c>
      <c r="D87" s="1" t="e">
        <f>IF(OR(Table1[[#This Row],[Type (TX, RX, TRX, Oscillator)]]="TRX",Table1[[#This Row],[Type (TX, RX, TRX, Oscillator)]]="TRX FE"),A87,#N/A)</f>
        <v>#N/A</v>
      </c>
      <c r="E87" s="1" t="e">
        <f>IF(Table1[[#This Row],[Type (TX, RX, TRX, Oscillator)]]="Oscillator",A87,#N/A)</f>
        <v>#N/A</v>
      </c>
      <c r="F87" s="1" t="e">
        <f>IF(Table1[[#This Row],[Type (TX, RX, TRX, Oscillator)]]="Relay",A87,#N/A)</f>
        <v>#N/A</v>
      </c>
      <c r="H87" s="1">
        <f>IF(Table1[[#This Row],[Process (CMOS_Bulk, CMOS_SOI, CMOS_FinFET, SiGe)]]&lt;&gt;"",Table1[[#This Row],[TX '# of Polarization]]+Table1[[#This Row],[RX '# of Polarization]],#N/A)</f>
        <v>1</v>
      </c>
      <c r="I87" s="1" t="e">
        <f>IF(OR(Table1[[#This Row],[Type (TX, RX, TRX, Oscillator)]]="TX", Table1[[#This Row],[Type (TX, RX, TRX, Oscillator)]]="TX FE"),H87,#N/A)</f>
        <v>#N/A</v>
      </c>
      <c r="J87" s="1">
        <f>IF(OR(Table1[[#This Row],[Type (TX, RX, TRX, Oscillator)]]="RX", Table1[[#This Row],[Type (TX, RX, TRX, Oscillator)]]="RX FE"),H87,#N/A)</f>
        <v>1</v>
      </c>
      <c r="K87" s="1" t="e">
        <f>IF(OR(Table1[[#This Row],[Type (TX, RX, TRX, Oscillator)]]="TRX",Table1[[#This Row],[Type (TX, RX, TRX, Oscillator)]]="TRX FE"),H87,#N/A)</f>
        <v>#N/A</v>
      </c>
      <c r="L87" s="1" t="e">
        <f>IF(Table1[[#This Row],[Type (TX, RX, TRX, Oscillator)]]="Oscillator",H87,#N/A)</f>
        <v>#N/A</v>
      </c>
      <c r="M87" s="1" t="e">
        <f>IF(Table1[[#This Row],[Type (TX, RX, TRX, Oscillator)]]="Relay",H87,#N/A)</f>
        <v>#N/A</v>
      </c>
    </row>
    <row r="88" spans="1:13" x14ac:dyDescent="0.2">
      <c r="A88" s="1">
        <f>IF(OR(Table1[[#This Row],['# of TX Element per IC]]&lt;&gt;"",Table1[[#This Row],['# of RX Element per IC]]&lt;&gt;""),Table1[[#This Row],['# of TX Element per IC]]+Table1[[#This Row],['# of RX Element per IC]],#N/A)</f>
        <v>4</v>
      </c>
      <c r="B88" s="1" t="e">
        <f>IF(OR(Table1[[#This Row],[Type (TX, RX, TRX, Oscillator)]]="TX", Table1[[#This Row],[Type (TX, RX, TRX, Oscillator)]]="TX FE"),A88,#N/A)</f>
        <v>#N/A</v>
      </c>
      <c r="C88" s="1">
        <f>IF(OR(Table1[[#This Row],[Type (TX, RX, TRX, Oscillator)]]="RX", Table1[[#This Row],[Type (TX, RX, TRX, Oscillator)]]="RX FE"),A88,#N/A)</f>
        <v>4</v>
      </c>
      <c r="D88" s="1" t="e">
        <f>IF(OR(Table1[[#This Row],[Type (TX, RX, TRX, Oscillator)]]="TRX",Table1[[#This Row],[Type (TX, RX, TRX, Oscillator)]]="TRX FE"),A88,#N/A)</f>
        <v>#N/A</v>
      </c>
      <c r="E88" s="1" t="e">
        <f>IF(Table1[[#This Row],[Type (TX, RX, TRX, Oscillator)]]="Oscillator",A88,#N/A)</f>
        <v>#N/A</v>
      </c>
      <c r="F88" s="1" t="e">
        <f>IF(Table1[[#This Row],[Type (TX, RX, TRX, Oscillator)]]="Relay",A88,#N/A)</f>
        <v>#N/A</v>
      </c>
      <c r="H88" s="1">
        <f>IF(Table1[[#This Row],[Process (CMOS_Bulk, CMOS_SOI, CMOS_FinFET, SiGe)]]&lt;&gt;"",Table1[[#This Row],[TX '# of Polarization]]+Table1[[#This Row],[RX '# of Polarization]],#N/A)</f>
        <v>1</v>
      </c>
      <c r="I88" s="1" t="e">
        <f>IF(OR(Table1[[#This Row],[Type (TX, RX, TRX, Oscillator)]]="TX", Table1[[#This Row],[Type (TX, RX, TRX, Oscillator)]]="TX FE"),H88,#N/A)</f>
        <v>#N/A</v>
      </c>
      <c r="J88" s="1">
        <f>IF(OR(Table1[[#This Row],[Type (TX, RX, TRX, Oscillator)]]="RX", Table1[[#This Row],[Type (TX, RX, TRX, Oscillator)]]="RX FE"),H88,#N/A)</f>
        <v>1</v>
      </c>
      <c r="K88" s="1" t="e">
        <f>IF(OR(Table1[[#This Row],[Type (TX, RX, TRX, Oscillator)]]="TRX",Table1[[#This Row],[Type (TX, RX, TRX, Oscillator)]]="TRX FE"),H88,#N/A)</f>
        <v>#N/A</v>
      </c>
      <c r="L88" s="1" t="e">
        <f>IF(Table1[[#This Row],[Type (TX, RX, TRX, Oscillator)]]="Oscillator",H88,#N/A)</f>
        <v>#N/A</v>
      </c>
      <c r="M88" s="1" t="e">
        <f>IF(Table1[[#This Row],[Type (TX, RX, TRX, Oscillator)]]="Relay",H88,#N/A)</f>
        <v>#N/A</v>
      </c>
    </row>
    <row r="89" spans="1:13" x14ac:dyDescent="0.2">
      <c r="A89" s="1">
        <f>IF(OR(Table1[[#This Row],['# of TX Element per IC]]&lt;&gt;"",Table1[[#This Row],['# of RX Element per IC]]&lt;&gt;""),Table1[[#This Row],['# of TX Element per IC]]+Table1[[#This Row],['# of RX Element per IC]],#N/A)</f>
        <v>8</v>
      </c>
      <c r="B89" s="1">
        <f>IF(OR(Table1[[#This Row],[Type (TX, RX, TRX, Oscillator)]]="TX", Table1[[#This Row],[Type (TX, RX, TRX, Oscillator)]]="TX FE"),A89,#N/A)</f>
        <v>8</v>
      </c>
      <c r="C89" s="1" t="e">
        <f>IF(OR(Table1[[#This Row],[Type (TX, RX, TRX, Oscillator)]]="RX", Table1[[#This Row],[Type (TX, RX, TRX, Oscillator)]]="RX FE"),A89,#N/A)</f>
        <v>#N/A</v>
      </c>
      <c r="D89" s="1" t="e">
        <f>IF(OR(Table1[[#This Row],[Type (TX, RX, TRX, Oscillator)]]="TRX",Table1[[#This Row],[Type (TX, RX, TRX, Oscillator)]]="TRX FE"),A89,#N/A)</f>
        <v>#N/A</v>
      </c>
      <c r="E89" s="1" t="e">
        <f>IF(Table1[[#This Row],[Type (TX, RX, TRX, Oscillator)]]="Oscillator",A89,#N/A)</f>
        <v>#N/A</v>
      </c>
      <c r="F89" s="1" t="e">
        <f>IF(Table1[[#This Row],[Type (TX, RX, TRX, Oscillator)]]="Relay",A89,#N/A)</f>
        <v>#N/A</v>
      </c>
      <c r="H89" s="1">
        <f>IF(Table1[[#This Row],[Process (CMOS_Bulk, CMOS_SOI, CMOS_FinFET, SiGe)]]&lt;&gt;"",Table1[[#This Row],[TX '# of Polarization]]+Table1[[#This Row],[RX '# of Polarization]],#N/A)</f>
        <v>1</v>
      </c>
      <c r="I89" s="1">
        <f>IF(OR(Table1[[#This Row],[Type (TX, RX, TRX, Oscillator)]]="TX", Table1[[#This Row],[Type (TX, RX, TRX, Oscillator)]]="TX FE"),H89,#N/A)</f>
        <v>1</v>
      </c>
      <c r="J89" s="1" t="e">
        <f>IF(OR(Table1[[#This Row],[Type (TX, RX, TRX, Oscillator)]]="RX", Table1[[#This Row],[Type (TX, RX, TRX, Oscillator)]]="RX FE"),H89,#N/A)</f>
        <v>#N/A</v>
      </c>
      <c r="K89" s="1" t="e">
        <f>IF(OR(Table1[[#This Row],[Type (TX, RX, TRX, Oscillator)]]="TRX",Table1[[#This Row],[Type (TX, RX, TRX, Oscillator)]]="TRX FE"),H89,#N/A)</f>
        <v>#N/A</v>
      </c>
      <c r="L89" s="1" t="e">
        <f>IF(Table1[[#This Row],[Type (TX, RX, TRX, Oscillator)]]="Oscillator",H89,#N/A)</f>
        <v>#N/A</v>
      </c>
      <c r="M89" s="1" t="e">
        <f>IF(Table1[[#This Row],[Type (TX, RX, TRX, Oscillator)]]="Relay",H89,#N/A)</f>
        <v>#N/A</v>
      </c>
    </row>
    <row r="90" spans="1:13" x14ac:dyDescent="0.2">
      <c r="A90" s="1">
        <f>IF(OR(Table1[[#This Row],['# of TX Element per IC]]&lt;&gt;"",Table1[[#This Row],['# of RX Element per IC]]&lt;&gt;""),Table1[[#This Row],['# of TX Element per IC]]+Table1[[#This Row],['# of RX Element per IC]],#N/A)</f>
        <v>2</v>
      </c>
      <c r="B90" s="1" t="e">
        <f>IF(OR(Table1[[#This Row],[Type (TX, RX, TRX, Oscillator)]]="TX", Table1[[#This Row],[Type (TX, RX, TRX, Oscillator)]]="TX FE"),A90,#N/A)</f>
        <v>#N/A</v>
      </c>
      <c r="C90" s="1" t="e">
        <f>IF(OR(Table1[[#This Row],[Type (TX, RX, TRX, Oscillator)]]="RX", Table1[[#This Row],[Type (TX, RX, TRX, Oscillator)]]="RX FE"),A90,#N/A)</f>
        <v>#N/A</v>
      </c>
      <c r="D90" s="1">
        <f>IF(OR(Table1[[#This Row],[Type (TX, RX, TRX, Oscillator)]]="TRX",Table1[[#This Row],[Type (TX, RX, TRX, Oscillator)]]="TRX FE"),A90,#N/A)</f>
        <v>2</v>
      </c>
      <c r="E90" s="1" t="e">
        <f>IF(Table1[[#This Row],[Type (TX, RX, TRX, Oscillator)]]="Oscillator",A90,#N/A)</f>
        <v>#N/A</v>
      </c>
      <c r="F90" s="1" t="e">
        <f>IF(Table1[[#This Row],[Type (TX, RX, TRX, Oscillator)]]="Relay",A90,#N/A)</f>
        <v>#N/A</v>
      </c>
      <c r="H90" s="1">
        <f>IF(Table1[[#This Row],[Process (CMOS_Bulk, CMOS_SOI, CMOS_FinFET, SiGe)]]&lt;&gt;"",Table1[[#This Row],[TX '# of Polarization]]+Table1[[#This Row],[RX '# of Polarization]],#N/A)</f>
        <v>2</v>
      </c>
      <c r="I90" s="1" t="e">
        <f>IF(OR(Table1[[#This Row],[Type (TX, RX, TRX, Oscillator)]]="TX", Table1[[#This Row],[Type (TX, RX, TRX, Oscillator)]]="TX FE"),H90,#N/A)</f>
        <v>#N/A</v>
      </c>
      <c r="J90" s="1" t="e">
        <f>IF(OR(Table1[[#This Row],[Type (TX, RX, TRX, Oscillator)]]="RX", Table1[[#This Row],[Type (TX, RX, TRX, Oscillator)]]="RX FE"),H90,#N/A)</f>
        <v>#N/A</v>
      </c>
      <c r="K90" s="1">
        <f>IF(OR(Table1[[#This Row],[Type (TX, RX, TRX, Oscillator)]]="TRX",Table1[[#This Row],[Type (TX, RX, TRX, Oscillator)]]="TRX FE"),H90,#N/A)</f>
        <v>2</v>
      </c>
      <c r="L90" s="1" t="e">
        <f>IF(Table1[[#This Row],[Type (TX, RX, TRX, Oscillator)]]="Oscillator",H90,#N/A)</f>
        <v>#N/A</v>
      </c>
      <c r="M90" s="1" t="e">
        <f>IF(Table1[[#This Row],[Type (TX, RX, TRX, Oscillator)]]="Relay",H90,#N/A)</f>
        <v>#N/A</v>
      </c>
    </row>
    <row r="91" spans="1:13" x14ac:dyDescent="0.2">
      <c r="A91" s="1">
        <f>IF(OR(Table1[[#This Row],['# of TX Element per IC]]&lt;&gt;"",Table1[[#This Row],['# of RX Element per IC]]&lt;&gt;""),Table1[[#This Row],['# of TX Element per IC]]+Table1[[#This Row],['# of RX Element per IC]],#N/A)</f>
        <v>32</v>
      </c>
      <c r="B91" s="1" t="e">
        <f>IF(OR(Table1[[#This Row],[Type (TX, RX, TRX, Oscillator)]]="TX", Table1[[#This Row],[Type (TX, RX, TRX, Oscillator)]]="TX FE"),A91,#N/A)</f>
        <v>#N/A</v>
      </c>
      <c r="C91" s="1" t="e">
        <f>IF(OR(Table1[[#This Row],[Type (TX, RX, TRX, Oscillator)]]="RX", Table1[[#This Row],[Type (TX, RX, TRX, Oscillator)]]="RX FE"),A91,#N/A)</f>
        <v>#N/A</v>
      </c>
      <c r="D91" s="1">
        <f>IF(OR(Table1[[#This Row],[Type (TX, RX, TRX, Oscillator)]]="TRX",Table1[[#This Row],[Type (TX, RX, TRX, Oscillator)]]="TRX FE"),A91,#N/A)</f>
        <v>32</v>
      </c>
      <c r="E91" s="1" t="e">
        <f>IF(Table1[[#This Row],[Type (TX, RX, TRX, Oscillator)]]="Oscillator",A91,#N/A)</f>
        <v>#N/A</v>
      </c>
      <c r="F91" s="1" t="e">
        <f>IF(Table1[[#This Row],[Type (TX, RX, TRX, Oscillator)]]="Relay",A91,#N/A)</f>
        <v>#N/A</v>
      </c>
      <c r="H91" s="1">
        <f>IF(Table1[[#This Row],[Process (CMOS_Bulk, CMOS_SOI, CMOS_FinFET, SiGe)]]&lt;&gt;"",Table1[[#This Row],[TX '# of Polarization]]+Table1[[#This Row],[RX '# of Polarization]],#N/A)</f>
        <v>4</v>
      </c>
      <c r="I91" s="1" t="e">
        <f>IF(OR(Table1[[#This Row],[Type (TX, RX, TRX, Oscillator)]]="TX", Table1[[#This Row],[Type (TX, RX, TRX, Oscillator)]]="TX FE"),H91,#N/A)</f>
        <v>#N/A</v>
      </c>
      <c r="J91" s="1" t="e">
        <f>IF(OR(Table1[[#This Row],[Type (TX, RX, TRX, Oscillator)]]="RX", Table1[[#This Row],[Type (TX, RX, TRX, Oscillator)]]="RX FE"),H91,#N/A)</f>
        <v>#N/A</v>
      </c>
      <c r="K91" s="1">
        <f>IF(OR(Table1[[#This Row],[Type (TX, RX, TRX, Oscillator)]]="TRX",Table1[[#This Row],[Type (TX, RX, TRX, Oscillator)]]="TRX FE"),H91,#N/A)</f>
        <v>4</v>
      </c>
      <c r="L91" s="1" t="e">
        <f>IF(Table1[[#This Row],[Type (TX, RX, TRX, Oscillator)]]="Oscillator",H91,#N/A)</f>
        <v>#N/A</v>
      </c>
      <c r="M91" s="1" t="e">
        <f>IF(Table1[[#This Row],[Type (TX, RX, TRX, Oscillator)]]="Relay",H91,#N/A)</f>
        <v>#N/A</v>
      </c>
    </row>
    <row r="92" spans="1:13" x14ac:dyDescent="0.2">
      <c r="A92" s="1">
        <f>IF(OR(Table1[[#This Row],['# of TX Element per IC]]&lt;&gt;"",Table1[[#This Row],['# of RX Element per IC]]&lt;&gt;""),Table1[[#This Row],['# of TX Element per IC]]+Table1[[#This Row],['# of RX Element per IC]],#N/A)</f>
        <v>32</v>
      </c>
      <c r="B92" s="1" t="e">
        <f>IF(OR(Table1[[#This Row],[Type (TX, RX, TRX, Oscillator)]]="TX", Table1[[#This Row],[Type (TX, RX, TRX, Oscillator)]]="TX FE"),A92,#N/A)</f>
        <v>#N/A</v>
      </c>
      <c r="C92" s="1" t="e">
        <f>IF(OR(Table1[[#This Row],[Type (TX, RX, TRX, Oscillator)]]="RX", Table1[[#This Row],[Type (TX, RX, TRX, Oscillator)]]="RX FE"),A92,#N/A)</f>
        <v>#N/A</v>
      </c>
      <c r="D92" s="1">
        <f>IF(OR(Table1[[#This Row],[Type (TX, RX, TRX, Oscillator)]]="TRX",Table1[[#This Row],[Type (TX, RX, TRX, Oscillator)]]="TRX FE"),A92,#N/A)</f>
        <v>32</v>
      </c>
      <c r="E92" s="1" t="e">
        <f>IF(Table1[[#This Row],[Type (TX, RX, TRX, Oscillator)]]="Oscillator",A92,#N/A)</f>
        <v>#N/A</v>
      </c>
      <c r="F92" s="1" t="e">
        <f>IF(Table1[[#This Row],[Type (TX, RX, TRX, Oscillator)]]="Relay",A92,#N/A)</f>
        <v>#N/A</v>
      </c>
      <c r="H92" s="1">
        <f>IF(Table1[[#This Row],[Process (CMOS_Bulk, CMOS_SOI, CMOS_FinFET, SiGe)]]&lt;&gt;"",Table1[[#This Row],[TX '# of Polarization]]+Table1[[#This Row],[RX '# of Polarization]],#N/A)</f>
        <v>4</v>
      </c>
      <c r="I92" s="1" t="e">
        <f>IF(OR(Table1[[#This Row],[Type (TX, RX, TRX, Oscillator)]]="TX", Table1[[#This Row],[Type (TX, RX, TRX, Oscillator)]]="TX FE"),H92,#N/A)</f>
        <v>#N/A</v>
      </c>
      <c r="J92" s="1" t="e">
        <f>IF(OR(Table1[[#This Row],[Type (TX, RX, TRX, Oscillator)]]="RX", Table1[[#This Row],[Type (TX, RX, TRX, Oscillator)]]="RX FE"),H92,#N/A)</f>
        <v>#N/A</v>
      </c>
      <c r="K92" s="1">
        <f>IF(OR(Table1[[#This Row],[Type (TX, RX, TRX, Oscillator)]]="TRX",Table1[[#This Row],[Type (TX, RX, TRX, Oscillator)]]="TRX FE"),H92,#N/A)</f>
        <v>4</v>
      </c>
      <c r="L92" s="1" t="e">
        <f>IF(Table1[[#This Row],[Type (TX, RX, TRX, Oscillator)]]="Oscillator",H92,#N/A)</f>
        <v>#N/A</v>
      </c>
      <c r="M92" s="1" t="e">
        <f>IF(Table1[[#This Row],[Type (TX, RX, TRX, Oscillator)]]="Relay",H92,#N/A)</f>
        <v>#N/A</v>
      </c>
    </row>
    <row r="93" spans="1:13" x14ac:dyDescent="0.2">
      <c r="A93" s="1">
        <f>IF(OR(Table1[[#This Row],['# of TX Element per IC]]&lt;&gt;"",Table1[[#This Row],['# of RX Element per IC]]&lt;&gt;""),Table1[[#This Row],['# of TX Element per IC]]+Table1[[#This Row],['# of RX Element per IC]],#N/A)</f>
        <v>4</v>
      </c>
      <c r="B93" s="1" t="e">
        <f>IF(OR(Table1[[#This Row],[Type (TX, RX, TRX, Oscillator)]]="TX", Table1[[#This Row],[Type (TX, RX, TRX, Oscillator)]]="TX FE"),A93,#N/A)</f>
        <v>#N/A</v>
      </c>
      <c r="C93" s="1">
        <f>IF(OR(Table1[[#This Row],[Type (TX, RX, TRX, Oscillator)]]="RX", Table1[[#This Row],[Type (TX, RX, TRX, Oscillator)]]="RX FE"),A93,#N/A)</f>
        <v>4</v>
      </c>
      <c r="D93" s="1" t="e">
        <f>IF(OR(Table1[[#This Row],[Type (TX, RX, TRX, Oscillator)]]="TRX",Table1[[#This Row],[Type (TX, RX, TRX, Oscillator)]]="TRX FE"),A93,#N/A)</f>
        <v>#N/A</v>
      </c>
      <c r="E93" s="1" t="e">
        <f>IF(Table1[[#This Row],[Type (TX, RX, TRX, Oscillator)]]="Oscillator",A93,#N/A)</f>
        <v>#N/A</v>
      </c>
      <c r="F93" s="1" t="e">
        <f>IF(Table1[[#This Row],[Type (TX, RX, TRX, Oscillator)]]="Relay",A93,#N/A)</f>
        <v>#N/A</v>
      </c>
      <c r="H93" s="1">
        <f>IF(Table1[[#This Row],[Process (CMOS_Bulk, CMOS_SOI, CMOS_FinFET, SiGe)]]&lt;&gt;"",Table1[[#This Row],[TX '# of Polarization]]+Table1[[#This Row],[RX '# of Polarization]],#N/A)</f>
        <v>1</v>
      </c>
      <c r="I93" s="1" t="e">
        <f>IF(OR(Table1[[#This Row],[Type (TX, RX, TRX, Oscillator)]]="TX", Table1[[#This Row],[Type (TX, RX, TRX, Oscillator)]]="TX FE"),H93,#N/A)</f>
        <v>#N/A</v>
      </c>
      <c r="J93" s="1">
        <f>IF(OR(Table1[[#This Row],[Type (TX, RX, TRX, Oscillator)]]="RX", Table1[[#This Row],[Type (TX, RX, TRX, Oscillator)]]="RX FE"),H93,#N/A)</f>
        <v>1</v>
      </c>
      <c r="K93" s="1" t="e">
        <f>IF(OR(Table1[[#This Row],[Type (TX, RX, TRX, Oscillator)]]="TRX",Table1[[#This Row],[Type (TX, RX, TRX, Oscillator)]]="TRX FE"),H93,#N/A)</f>
        <v>#N/A</v>
      </c>
      <c r="L93" s="1" t="e">
        <f>IF(Table1[[#This Row],[Type (TX, RX, TRX, Oscillator)]]="Oscillator",H93,#N/A)</f>
        <v>#N/A</v>
      </c>
      <c r="M93" s="1" t="e">
        <f>IF(Table1[[#This Row],[Type (TX, RX, TRX, Oscillator)]]="Relay",H93,#N/A)</f>
        <v>#N/A</v>
      </c>
    </row>
    <row r="94" spans="1:13" x14ac:dyDescent="0.2">
      <c r="A94" s="1">
        <f>IF(OR(Table1[[#This Row],['# of TX Element per IC]]&lt;&gt;"",Table1[[#This Row],['# of RX Element per IC]]&lt;&gt;""),Table1[[#This Row],['# of TX Element per IC]]+Table1[[#This Row],['# of RX Element per IC]],#N/A)</f>
        <v>8</v>
      </c>
      <c r="B94" s="1" t="e">
        <f>IF(OR(Table1[[#This Row],[Type (TX, RX, TRX, Oscillator)]]="TX", Table1[[#This Row],[Type (TX, RX, TRX, Oscillator)]]="TX FE"),A94,#N/A)</f>
        <v>#N/A</v>
      </c>
      <c r="C94" s="1">
        <f>IF(OR(Table1[[#This Row],[Type (TX, RX, TRX, Oscillator)]]="RX", Table1[[#This Row],[Type (TX, RX, TRX, Oscillator)]]="RX FE"),A94,#N/A)</f>
        <v>8</v>
      </c>
      <c r="D94" s="1" t="e">
        <f>IF(OR(Table1[[#This Row],[Type (TX, RX, TRX, Oscillator)]]="TRX",Table1[[#This Row],[Type (TX, RX, TRX, Oscillator)]]="TRX FE"),A94,#N/A)</f>
        <v>#N/A</v>
      </c>
      <c r="E94" s="1" t="e">
        <f>IF(Table1[[#This Row],[Type (TX, RX, TRX, Oscillator)]]="Oscillator",A94,#N/A)</f>
        <v>#N/A</v>
      </c>
      <c r="F94" s="1" t="e">
        <f>IF(Table1[[#This Row],[Type (TX, RX, TRX, Oscillator)]]="Relay",A94,#N/A)</f>
        <v>#N/A</v>
      </c>
      <c r="H94" s="1">
        <f>IF(Table1[[#This Row],[Process (CMOS_Bulk, CMOS_SOI, CMOS_FinFET, SiGe)]]&lt;&gt;"",Table1[[#This Row],[TX '# of Polarization]]+Table1[[#This Row],[RX '# of Polarization]],#N/A)</f>
        <v>1</v>
      </c>
      <c r="I94" s="1" t="e">
        <f>IF(OR(Table1[[#This Row],[Type (TX, RX, TRX, Oscillator)]]="TX", Table1[[#This Row],[Type (TX, RX, TRX, Oscillator)]]="TX FE"),H94,#N/A)</f>
        <v>#N/A</v>
      </c>
      <c r="J94" s="1">
        <f>IF(OR(Table1[[#This Row],[Type (TX, RX, TRX, Oscillator)]]="RX", Table1[[#This Row],[Type (TX, RX, TRX, Oscillator)]]="RX FE"),H94,#N/A)</f>
        <v>1</v>
      </c>
      <c r="K94" s="1" t="e">
        <f>IF(OR(Table1[[#This Row],[Type (TX, RX, TRX, Oscillator)]]="TRX",Table1[[#This Row],[Type (TX, RX, TRX, Oscillator)]]="TRX FE"),H94,#N/A)</f>
        <v>#N/A</v>
      </c>
      <c r="L94" s="1" t="e">
        <f>IF(Table1[[#This Row],[Type (TX, RX, TRX, Oscillator)]]="Oscillator",H94,#N/A)</f>
        <v>#N/A</v>
      </c>
      <c r="M94" s="1" t="e">
        <f>IF(Table1[[#This Row],[Type (TX, RX, TRX, Oscillator)]]="Relay",H94,#N/A)</f>
        <v>#N/A</v>
      </c>
    </row>
    <row r="95" spans="1:13" x14ac:dyDescent="0.2">
      <c r="A95" s="1">
        <f>IF(OR(Table1[[#This Row],['# of TX Element per IC]]&lt;&gt;"",Table1[[#This Row],['# of RX Element per IC]]&lt;&gt;""),Table1[[#This Row],['# of TX Element per IC]]+Table1[[#This Row],['# of RX Element per IC]],#N/A)</f>
        <v>1</v>
      </c>
      <c r="B95" s="1" t="e">
        <f>IF(OR(Table1[[#This Row],[Type (TX, RX, TRX, Oscillator)]]="TX", Table1[[#This Row],[Type (TX, RX, TRX, Oscillator)]]="TX FE"),A95,#N/A)</f>
        <v>#N/A</v>
      </c>
      <c r="C95" s="1">
        <f>IF(OR(Table1[[#This Row],[Type (TX, RX, TRX, Oscillator)]]="RX", Table1[[#This Row],[Type (TX, RX, TRX, Oscillator)]]="RX FE"),A95,#N/A)</f>
        <v>1</v>
      </c>
      <c r="D95" s="1" t="e">
        <f>IF(OR(Table1[[#This Row],[Type (TX, RX, TRX, Oscillator)]]="TRX",Table1[[#This Row],[Type (TX, RX, TRX, Oscillator)]]="TRX FE"),A95,#N/A)</f>
        <v>#N/A</v>
      </c>
      <c r="E95" s="1" t="e">
        <f>IF(Table1[[#This Row],[Type (TX, RX, TRX, Oscillator)]]="Oscillator",A95,#N/A)</f>
        <v>#N/A</v>
      </c>
      <c r="F95" s="1" t="e">
        <f>IF(Table1[[#This Row],[Type (TX, RX, TRX, Oscillator)]]="Relay",A95,#N/A)</f>
        <v>#N/A</v>
      </c>
      <c r="H95" s="1">
        <f>IF(Table1[[#This Row],[Process (CMOS_Bulk, CMOS_SOI, CMOS_FinFET, SiGe)]]&lt;&gt;"",Table1[[#This Row],[TX '# of Polarization]]+Table1[[#This Row],[RX '# of Polarization]],#N/A)</f>
        <v>1</v>
      </c>
      <c r="I95" s="1" t="e">
        <f>IF(OR(Table1[[#This Row],[Type (TX, RX, TRX, Oscillator)]]="TX", Table1[[#This Row],[Type (TX, RX, TRX, Oscillator)]]="TX FE"),H95,#N/A)</f>
        <v>#N/A</v>
      </c>
      <c r="J95" s="1">
        <f>IF(OR(Table1[[#This Row],[Type (TX, RX, TRX, Oscillator)]]="RX", Table1[[#This Row],[Type (TX, RX, TRX, Oscillator)]]="RX FE"),H95,#N/A)</f>
        <v>1</v>
      </c>
      <c r="K95" s="1" t="e">
        <f>IF(OR(Table1[[#This Row],[Type (TX, RX, TRX, Oscillator)]]="TRX",Table1[[#This Row],[Type (TX, RX, TRX, Oscillator)]]="TRX FE"),H95,#N/A)</f>
        <v>#N/A</v>
      </c>
      <c r="L95" s="1" t="e">
        <f>IF(Table1[[#This Row],[Type (TX, RX, TRX, Oscillator)]]="Oscillator",H95,#N/A)</f>
        <v>#N/A</v>
      </c>
      <c r="M95" s="1" t="e">
        <f>IF(Table1[[#This Row],[Type (TX, RX, TRX, Oscillator)]]="Relay",H95,#N/A)</f>
        <v>#N/A</v>
      </c>
    </row>
    <row r="96" spans="1:13" x14ac:dyDescent="0.2">
      <c r="A96" s="1">
        <f>IF(OR(Table1[[#This Row],['# of TX Element per IC]]&lt;&gt;"",Table1[[#This Row],['# of RX Element per IC]]&lt;&gt;""),Table1[[#This Row],['# of TX Element per IC]]+Table1[[#This Row],['# of RX Element per IC]],#N/A)</f>
        <v>6</v>
      </c>
      <c r="B96" s="1" t="e">
        <f>IF(OR(Table1[[#This Row],[Type (TX, RX, TRX, Oscillator)]]="TX", Table1[[#This Row],[Type (TX, RX, TRX, Oscillator)]]="TX FE"),A96,#N/A)</f>
        <v>#N/A</v>
      </c>
      <c r="C96" s="1" t="e">
        <f>IF(OR(Table1[[#This Row],[Type (TX, RX, TRX, Oscillator)]]="RX", Table1[[#This Row],[Type (TX, RX, TRX, Oscillator)]]="RX FE"),A96,#N/A)</f>
        <v>#N/A</v>
      </c>
      <c r="D96" s="1" t="e">
        <f>IF(OR(Table1[[#This Row],[Type (TX, RX, TRX, Oscillator)]]="TRX",Table1[[#This Row],[Type (TX, RX, TRX, Oscillator)]]="TRX FE"),A96,#N/A)</f>
        <v>#N/A</v>
      </c>
      <c r="E96" s="1">
        <f>IF(Table1[[#This Row],[Type (TX, RX, TRX, Oscillator)]]="Oscillator",A96,#N/A)</f>
        <v>6</v>
      </c>
      <c r="F96" s="1" t="e">
        <f>IF(Table1[[#This Row],[Type (TX, RX, TRX, Oscillator)]]="Relay",A96,#N/A)</f>
        <v>#N/A</v>
      </c>
      <c r="H96" s="1">
        <f>IF(Table1[[#This Row],[Process (CMOS_Bulk, CMOS_SOI, CMOS_FinFET, SiGe)]]&lt;&gt;"",Table1[[#This Row],[TX '# of Polarization]]+Table1[[#This Row],[RX '# of Polarization]],#N/A)</f>
        <v>2</v>
      </c>
      <c r="I96" s="1" t="e">
        <f>IF(OR(Table1[[#This Row],[Type (TX, RX, TRX, Oscillator)]]="TX", Table1[[#This Row],[Type (TX, RX, TRX, Oscillator)]]="TX FE"),H96,#N/A)</f>
        <v>#N/A</v>
      </c>
      <c r="J96" s="1" t="e">
        <f>IF(OR(Table1[[#This Row],[Type (TX, RX, TRX, Oscillator)]]="RX", Table1[[#This Row],[Type (TX, RX, TRX, Oscillator)]]="RX FE"),H96,#N/A)</f>
        <v>#N/A</v>
      </c>
      <c r="K96" s="1" t="e">
        <f>IF(OR(Table1[[#This Row],[Type (TX, RX, TRX, Oscillator)]]="TRX",Table1[[#This Row],[Type (TX, RX, TRX, Oscillator)]]="TRX FE"),H96,#N/A)</f>
        <v>#N/A</v>
      </c>
      <c r="L96" s="1">
        <f>IF(Table1[[#This Row],[Type (TX, RX, TRX, Oscillator)]]="Oscillator",H96,#N/A)</f>
        <v>2</v>
      </c>
      <c r="M96" s="1" t="e">
        <f>IF(Table1[[#This Row],[Type (TX, RX, TRX, Oscillator)]]="Relay",H96,#N/A)</f>
        <v>#N/A</v>
      </c>
    </row>
    <row r="97" spans="1:13" x14ac:dyDescent="0.2">
      <c r="A97" s="1">
        <f>IF(OR(Table1[[#This Row],['# of TX Element per IC]]&lt;&gt;"",Table1[[#This Row],['# of RX Element per IC]]&lt;&gt;""),Table1[[#This Row],['# of TX Element per IC]]+Table1[[#This Row],['# of RX Element per IC]],#N/A)</f>
        <v>1</v>
      </c>
      <c r="B97" s="1">
        <f>IF(OR(Table1[[#This Row],[Type (TX, RX, TRX, Oscillator)]]="TX", Table1[[#This Row],[Type (TX, RX, TRX, Oscillator)]]="TX FE"),A97,#N/A)</f>
        <v>1</v>
      </c>
      <c r="C97" s="1" t="e">
        <f>IF(OR(Table1[[#This Row],[Type (TX, RX, TRX, Oscillator)]]="RX", Table1[[#This Row],[Type (TX, RX, TRX, Oscillator)]]="RX FE"),A97,#N/A)</f>
        <v>#N/A</v>
      </c>
      <c r="D97" s="1" t="e">
        <f>IF(OR(Table1[[#This Row],[Type (TX, RX, TRX, Oscillator)]]="TRX",Table1[[#This Row],[Type (TX, RX, TRX, Oscillator)]]="TRX FE"),A97,#N/A)</f>
        <v>#N/A</v>
      </c>
      <c r="E97" s="1" t="e">
        <f>IF(Table1[[#This Row],[Type (TX, RX, TRX, Oscillator)]]="Oscillator",A97,#N/A)</f>
        <v>#N/A</v>
      </c>
      <c r="F97" s="1" t="e">
        <f>IF(Table1[[#This Row],[Type (TX, RX, TRX, Oscillator)]]="Relay",A97,#N/A)</f>
        <v>#N/A</v>
      </c>
      <c r="H97" s="1">
        <f>IF(Table1[[#This Row],[Process (CMOS_Bulk, CMOS_SOI, CMOS_FinFET, SiGe)]]&lt;&gt;"",Table1[[#This Row],[TX '# of Polarization]]+Table1[[#This Row],[RX '# of Polarization]],#N/A)</f>
        <v>1</v>
      </c>
      <c r="I97" s="1">
        <f>IF(OR(Table1[[#This Row],[Type (TX, RX, TRX, Oscillator)]]="TX", Table1[[#This Row],[Type (TX, RX, TRX, Oscillator)]]="TX FE"),H97,#N/A)</f>
        <v>1</v>
      </c>
      <c r="J97" s="1" t="e">
        <f>IF(OR(Table1[[#This Row],[Type (TX, RX, TRX, Oscillator)]]="RX", Table1[[#This Row],[Type (TX, RX, TRX, Oscillator)]]="RX FE"),H97,#N/A)</f>
        <v>#N/A</v>
      </c>
      <c r="K97" s="1" t="e">
        <f>IF(OR(Table1[[#This Row],[Type (TX, RX, TRX, Oscillator)]]="TRX",Table1[[#This Row],[Type (TX, RX, TRX, Oscillator)]]="TRX FE"),H97,#N/A)</f>
        <v>#N/A</v>
      </c>
      <c r="L97" s="1" t="e">
        <f>IF(Table1[[#This Row],[Type (TX, RX, TRX, Oscillator)]]="Oscillator",H97,#N/A)</f>
        <v>#N/A</v>
      </c>
      <c r="M97" s="1" t="e">
        <f>IF(Table1[[#This Row],[Type (TX, RX, TRX, Oscillator)]]="Relay",H97,#N/A)</f>
        <v>#N/A</v>
      </c>
    </row>
    <row r="98" spans="1:13" x14ac:dyDescent="0.2">
      <c r="A98" s="1">
        <f>IF(OR(Table1[[#This Row],['# of TX Element per IC]]&lt;&gt;"",Table1[[#This Row],['# of RX Element per IC]]&lt;&gt;""),Table1[[#This Row],['# of TX Element per IC]]+Table1[[#This Row],['# of RX Element per IC]],#N/A)</f>
        <v>8</v>
      </c>
      <c r="B98" s="1">
        <f>IF(OR(Table1[[#This Row],[Type (TX, RX, TRX, Oscillator)]]="TX", Table1[[#This Row],[Type (TX, RX, TRX, Oscillator)]]="TX FE"),A98,#N/A)</f>
        <v>8</v>
      </c>
      <c r="C98" s="1" t="e">
        <f>IF(OR(Table1[[#This Row],[Type (TX, RX, TRX, Oscillator)]]="RX", Table1[[#This Row],[Type (TX, RX, TRX, Oscillator)]]="RX FE"),A98,#N/A)</f>
        <v>#N/A</v>
      </c>
      <c r="D98" s="1" t="e">
        <f>IF(OR(Table1[[#This Row],[Type (TX, RX, TRX, Oscillator)]]="TRX",Table1[[#This Row],[Type (TX, RX, TRX, Oscillator)]]="TRX FE"),A98,#N/A)</f>
        <v>#N/A</v>
      </c>
      <c r="E98" s="1" t="e">
        <f>IF(Table1[[#This Row],[Type (TX, RX, TRX, Oscillator)]]="Oscillator",A98,#N/A)</f>
        <v>#N/A</v>
      </c>
      <c r="F98" s="1" t="e">
        <f>IF(Table1[[#This Row],[Type (TX, RX, TRX, Oscillator)]]="Relay",A98,#N/A)</f>
        <v>#N/A</v>
      </c>
      <c r="H98" s="1">
        <f>IF(Table1[[#This Row],[Process (CMOS_Bulk, CMOS_SOI, CMOS_FinFET, SiGe)]]&lt;&gt;"",Table1[[#This Row],[TX '# of Polarization]]+Table1[[#This Row],[RX '# of Polarization]],#N/A)</f>
        <v>1</v>
      </c>
      <c r="I98" s="1">
        <f>IF(OR(Table1[[#This Row],[Type (TX, RX, TRX, Oscillator)]]="TX", Table1[[#This Row],[Type (TX, RX, TRX, Oscillator)]]="TX FE"),H98,#N/A)</f>
        <v>1</v>
      </c>
      <c r="J98" s="1" t="e">
        <f>IF(OR(Table1[[#This Row],[Type (TX, RX, TRX, Oscillator)]]="RX", Table1[[#This Row],[Type (TX, RX, TRX, Oscillator)]]="RX FE"),H98,#N/A)</f>
        <v>#N/A</v>
      </c>
      <c r="K98" s="1" t="e">
        <f>IF(OR(Table1[[#This Row],[Type (TX, RX, TRX, Oscillator)]]="TRX",Table1[[#This Row],[Type (TX, RX, TRX, Oscillator)]]="TRX FE"),H98,#N/A)</f>
        <v>#N/A</v>
      </c>
      <c r="L98" s="1" t="e">
        <f>IF(Table1[[#This Row],[Type (TX, RX, TRX, Oscillator)]]="Oscillator",H98,#N/A)</f>
        <v>#N/A</v>
      </c>
      <c r="M98" s="1" t="e">
        <f>IF(Table1[[#This Row],[Type (TX, RX, TRX, Oscillator)]]="Relay",H98,#N/A)</f>
        <v>#N/A</v>
      </c>
    </row>
    <row r="99" spans="1:13" x14ac:dyDescent="0.2">
      <c r="A99" s="1">
        <f>IF(OR(Table1[[#This Row],['# of TX Element per IC]]&lt;&gt;"",Table1[[#This Row],['# of RX Element per IC]]&lt;&gt;""),Table1[[#This Row],['# of TX Element per IC]]+Table1[[#This Row],['# of RX Element per IC]],#N/A)</f>
        <v>98</v>
      </c>
      <c r="B99" s="1" t="e">
        <f>IF(OR(Table1[[#This Row],[Type (TX, RX, TRX, Oscillator)]]="TX", Table1[[#This Row],[Type (TX, RX, TRX, Oscillator)]]="TX FE"),A99,#N/A)</f>
        <v>#N/A</v>
      </c>
      <c r="C99" s="1" t="e">
        <f>IF(OR(Table1[[#This Row],[Type (TX, RX, TRX, Oscillator)]]="RX", Table1[[#This Row],[Type (TX, RX, TRX, Oscillator)]]="RX FE"),A99,#N/A)</f>
        <v>#N/A</v>
      </c>
      <c r="D99" s="1" t="e">
        <f>IF(OR(Table1[[#This Row],[Type (TX, RX, TRX, Oscillator)]]="TRX",Table1[[#This Row],[Type (TX, RX, TRX, Oscillator)]]="TRX FE"),A99,#N/A)</f>
        <v>#N/A</v>
      </c>
      <c r="E99" s="1" t="e">
        <f>IF(Table1[[#This Row],[Type (TX, RX, TRX, Oscillator)]]="Oscillator",A99,#N/A)</f>
        <v>#N/A</v>
      </c>
      <c r="F99" s="1">
        <f>IF(Table1[[#This Row],[Type (TX, RX, TRX, Oscillator)]]="Relay",A99,#N/A)</f>
        <v>98</v>
      </c>
      <c r="H99" s="1">
        <f>IF(Table1[[#This Row],[Process (CMOS_Bulk, CMOS_SOI, CMOS_FinFET, SiGe)]]&lt;&gt;"",Table1[[#This Row],[TX '# of Polarization]]+Table1[[#This Row],[RX '# of Polarization]],#N/A)</f>
        <v>2</v>
      </c>
      <c r="I99" s="1" t="e">
        <f>IF(OR(Table1[[#This Row],[Type (TX, RX, TRX, Oscillator)]]="TX", Table1[[#This Row],[Type (TX, RX, TRX, Oscillator)]]="TX FE"),H99,#N/A)</f>
        <v>#N/A</v>
      </c>
      <c r="J99" s="1" t="e">
        <f>IF(OR(Table1[[#This Row],[Type (TX, RX, TRX, Oscillator)]]="RX", Table1[[#This Row],[Type (TX, RX, TRX, Oscillator)]]="RX FE"),H99,#N/A)</f>
        <v>#N/A</v>
      </c>
      <c r="K99" s="1" t="e">
        <f>IF(OR(Table1[[#This Row],[Type (TX, RX, TRX, Oscillator)]]="TRX",Table1[[#This Row],[Type (TX, RX, TRX, Oscillator)]]="TRX FE"),H99,#N/A)</f>
        <v>#N/A</v>
      </c>
      <c r="L99" s="1" t="e">
        <f>IF(Table1[[#This Row],[Type (TX, RX, TRX, Oscillator)]]="Oscillator",H99,#N/A)</f>
        <v>#N/A</v>
      </c>
      <c r="M99" s="1">
        <f>IF(Table1[[#This Row],[Type (TX, RX, TRX, Oscillator)]]="Relay",H99,#N/A)</f>
        <v>2</v>
      </c>
    </row>
    <row r="100" spans="1:13" x14ac:dyDescent="0.2">
      <c r="A100" s="1">
        <f>IF(OR(Table1[[#This Row],['# of TX Element per IC]]&lt;&gt;"",Table1[[#This Row],['# of RX Element per IC]]&lt;&gt;""),Table1[[#This Row],['# of TX Element per IC]]+Table1[[#This Row],['# of RX Element per IC]],#N/A)</f>
        <v>4</v>
      </c>
      <c r="B100" s="1">
        <f>IF(OR(Table1[[#This Row],[Type (TX, RX, TRX, Oscillator)]]="TX", Table1[[#This Row],[Type (TX, RX, TRX, Oscillator)]]="TX FE"),A100,#N/A)</f>
        <v>4</v>
      </c>
      <c r="C100" s="1" t="e">
        <f>IF(OR(Table1[[#This Row],[Type (TX, RX, TRX, Oscillator)]]="RX", Table1[[#This Row],[Type (TX, RX, TRX, Oscillator)]]="RX FE"),A100,#N/A)</f>
        <v>#N/A</v>
      </c>
      <c r="D100" s="1" t="e">
        <f>IF(OR(Table1[[#This Row],[Type (TX, RX, TRX, Oscillator)]]="TRX",Table1[[#This Row],[Type (TX, RX, TRX, Oscillator)]]="TRX FE"),A100,#N/A)</f>
        <v>#N/A</v>
      </c>
      <c r="E100" s="1" t="e">
        <f>IF(Table1[[#This Row],[Type (TX, RX, TRX, Oscillator)]]="Oscillator",A100,#N/A)</f>
        <v>#N/A</v>
      </c>
      <c r="F100" s="1" t="e">
        <f>IF(Table1[[#This Row],[Type (TX, RX, TRX, Oscillator)]]="Relay",A100,#N/A)</f>
        <v>#N/A</v>
      </c>
      <c r="H100" s="1">
        <f>IF(Table1[[#This Row],[Process (CMOS_Bulk, CMOS_SOI, CMOS_FinFET, SiGe)]]&lt;&gt;"",Table1[[#This Row],[TX '# of Polarization]]+Table1[[#This Row],[RX '# of Polarization]],#N/A)</f>
        <v>1</v>
      </c>
      <c r="I100" s="1">
        <f>IF(OR(Table1[[#This Row],[Type (TX, RX, TRX, Oscillator)]]="TX", Table1[[#This Row],[Type (TX, RX, TRX, Oscillator)]]="TX FE"),H100,#N/A)</f>
        <v>1</v>
      </c>
      <c r="J100" s="1" t="e">
        <f>IF(OR(Table1[[#This Row],[Type (TX, RX, TRX, Oscillator)]]="RX", Table1[[#This Row],[Type (TX, RX, TRX, Oscillator)]]="RX FE"),H100,#N/A)</f>
        <v>#N/A</v>
      </c>
      <c r="K100" s="1" t="e">
        <f>IF(OR(Table1[[#This Row],[Type (TX, RX, TRX, Oscillator)]]="TRX",Table1[[#This Row],[Type (TX, RX, TRX, Oscillator)]]="TRX FE"),H100,#N/A)</f>
        <v>#N/A</v>
      </c>
      <c r="L100" s="1" t="e">
        <f>IF(Table1[[#This Row],[Type (TX, RX, TRX, Oscillator)]]="Oscillator",H100,#N/A)</f>
        <v>#N/A</v>
      </c>
      <c r="M100" s="1" t="e">
        <f>IF(Table1[[#This Row],[Type (TX, RX, TRX, Oscillator)]]="Relay",H100,#N/A)</f>
        <v>#N/A</v>
      </c>
    </row>
    <row r="101" spans="1:13" x14ac:dyDescent="0.2">
      <c r="A101" s="1">
        <f>IF(OR(Table1[[#This Row],['# of TX Element per IC]]&lt;&gt;"",Table1[[#This Row],['# of RX Element per IC]]&lt;&gt;""),Table1[[#This Row],['# of TX Element per IC]]+Table1[[#This Row],['# of RX Element per IC]],#N/A)</f>
        <v>4</v>
      </c>
      <c r="B101" s="1" t="e">
        <f>IF(OR(Table1[[#This Row],[Type (TX, RX, TRX, Oscillator)]]="TX", Table1[[#This Row],[Type (TX, RX, TRX, Oscillator)]]="TX FE"),A101,#N/A)</f>
        <v>#N/A</v>
      </c>
      <c r="C101" s="1">
        <f>IF(OR(Table1[[#This Row],[Type (TX, RX, TRX, Oscillator)]]="RX", Table1[[#This Row],[Type (TX, RX, TRX, Oscillator)]]="RX FE"),A101,#N/A)</f>
        <v>4</v>
      </c>
      <c r="D101" s="1" t="e">
        <f>IF(OR(Table1[[#This Row],[Type (TX, RX, TRX, Oscillator)]]="TRX",Table1[[#This Row],[Type (TX, RX, TRX, Oscillator)]]="TRX FE"),A101,#N/A)</f>
        <v>#N/A</v>
      </c>
      <c r="E101" s="1" t="e">
        <f>IF(Table1[[#This Row],[Type (TX, RX, TRX, Oscillator)]]="Oscillator",A101,#N/A)</f>
        <v>#N/A</v>
      </c>
      <c r="F101" s="1" t="e">
        <f>IF(Table1[[#This Row],[Type (TX, RX, TRX, Oscillator)]]="Relay",A101,#N/A)</f>
        <v>#N/A</v>
      </c>
      <c r="H101" s="1">
        <f>IF(Table1[[#This Row],[Process (CMOS_Bulk, CMOS_SOI, CMOS_FinFET, SiGe)]]&lt;&gt;"",Table1[[#This Row],[TX '# of Polarization]]+Table1[[#This Row],[RX '# of Polarization]],#N/A)</f>
        <v>1</v>
      </c>
      <c r="I101" s="1" t="e">
        <f>IF(OR(Table1[[#This Row],[Type (TX, RX, TRX, Oscillator)]]="TX", Table1[[#This Row],[Type (TX, RX, TRX, Oscillator)]]="TX FE"),H101,#N/A)</f>
        <v>#N/A</v>
      </c>
      <c r="J101" s="1">
        <f>IF(OR(Table1[[#This Row],[Type (TX, RX, TRX, Oscillator)]]="RX", Table1[[#This Row],[Type (TX, RX, TRX, Oscillator)]]="RX FE"),H101,#N/A)</f>
        <v>1</v>
      </c>
      <c r="K101" s="1" t="e">
        <f>IF(OR(Table1[[#This Row],[Type (TX, RX, TRX, Oscillator)]]="TRX",Table1[[#This Row],[Type (TX, RX, TRX, Oscillator)]]="TRX FE"),H101,#N/A)</f>
        <v>#N/A</v>
      </c>
      <c r="L101" s="1" t="e">
        <f>IF(Table1[[#This Row],[Type (TX, RX, TRX, Oscillator)]]="Oscillator",H101,#N/A)</f>
        <v>#N/A</v>
      </c>
      <c r="M101" s="1" t="e">
        <f>IF(Table1[[#This Row],[Type (TX, RX, TRX, Oscillator)]]="Relay",H101,#N/A)</f>
        <v>#N/A</v>
      </c>
    </row>
    <row r="102" spans="1:13" x14ac:dyDescent="0.2">
      <c r="A102" s="1">
        <f>IF(OR(Table1[[#This Row],['# of TX Element per IC]]&lt;&gt;"",Table1[[#This Row],['# of RX Element per IC]]&lt;&gt;""),Table1[[#This Row],['# of TX Element per IC]]+Table1[[#This Row],['# of RX Element per IC]],#N/A)</f>
        <v>8</v>
      </c>
      <c r="B102" s="1" t="e">
        <f>IF(OR(Table1[[#This Row],[Type (TX, RX, TRX, Oscillator)]]="TX", Table1[[#This Row],[Type (TX, RX, TRX, Oscillator)]]="TX FE"),A102,#N/A)</f>
        <v>#N/A</v>
      </c>
      <c r="C102" s="1" t="e">
        <f>IF(OR(Table1[[#This Row],[Type (TX, RX, TRX, Oscillator)]]="RX", Table1[[#This Row],[Type (TX, RX, TRX, Oscillator)]]="RX FE"),A102,#N/A)</f>
        <v>#N/A</v>
      </c>
      <c r="D102" s="1">
        <f>IF(OR(Table1[[#This Row],[Type (TX, RX, TRX, Oscillator)]]="TRX",Table1[[#This Row],[Type (TX, RX, TRX, Oscillator)]]="TRX FE"),A102,#N/A)</f>
        <v>8</v>
      </c>
      <c r="E102" s="1" t="e">
        <f>IF(Table1[[#This Row],[Type (TX, RX, TRX, Oscillator)]]="Oscillator",A102,#N/A)</f>
        <v>#N/A</v>
      </c>
      <c r="F102" s="1" t="e">
        <f>IF(Table1[[#This Row],[Type (TX, RX, TRX, Oscillator)]]="Relay",A102,#N/A)</f>
        <v>#N/A</v>
      </c>
      <c r="H102" s="1">
        <f>IF(Table1[[#This Row],[Process (CMOS_Bulk, CMOS_SOI, CMOS_FinFET, SiGe)]]&lt;&gt;"",Table1[[#This Row],[TX '# of Polarization]]+Table1[[#This Row],[RX '# of Polarization]],#N/A)</f>
        <v>2</v>
      </c>
      <c r="I102" s="1" t="e">
        <f>IF(OR(Table1[[#This Row],[Type (TX, RX, TRX, Oscillator)]]="TX", Table1[[#This Row],[Type (TX, RX, TRX, Oscillator)]]="TX FE"),H102,#N/A)</f>
        <v>#N/A</v>
      </c>
      <c r="J102" s="1" t="e">
        <f>IF(OR(Table1[[#This Row],[Type (TX, RX, TRX, Oscillator)]]="RX", Table1[[#This Row],[Type (TX, RX, TRX, Oscillator)]]="RX FE"),H102,#N/A)</f>
        <v>#N/A</v>
      </c>
      <c r="K102" s="1">
        <f>IF(OR(Table1[[#This Row],[Type (TX, RX, TRX, Oscillator)]]="TRX",Table1[[#This Row],[Type (TX, RX, TRX, Oscillator)]]="TRX FE"),H102,#N/A)</f>
        <v>2</v>
      </c>
      <c r="L102" s="1" t="e">
        <f>IF(Table1[[#This Row],[Type (TX, RX, TRX, Oscillator)]]="Oscillator",H102,#N/A)</f>
        <v>#N/A</v>
      </c>
      <c r="M102" s="1" t="e">
        <f>IF(Table1[[#This Row],[Type (TX, RX, TRX, Oscillator)]]="Relay",H102,#N/A)</f>
        <v>#N/A</v>
      </c>
    </row>
    <row r="103" spans="1:13" x14ac:dyDescent="0.2">
      <c r="A103" s="1">
        <f>IF(OR(Table1[[#This Row],['# of TX Element per IC]]&lt;&gt;"",Table1[[#This Row],['# of RX Element per IC]]&lt;&gt;""),Table1[[#This Row],['# of TX Element per IC]]+Table1[[#This Row],['# of RX Element per IC]],#N/A)</f>
        <v>16</v>
      </c>
      <c r="B103" s="1" t="e">
        <f>IF(OR(Table1[[#This Row],[Type (TX, RX, TRX, Oscillator)]]="TX", Table1[[#This Row],[Type (TX, RX, TRX, Oscillator)]]="TX FE"),A103,#N/A)</f>
        <v>#N/A</v>
      </c>
      <c r="C103" s="1" t="e">
        <f>IF(OR(Table1[[#This Row],[Type (TX, RX, TRX, Oscillator)]]="RX", Table1[[#This Row],[Type (TX, RX, TRX, Oscillator)]]="RX FE"),A103,#N/A)</f>
        <v>#N/A</v>
      </c>
      <c r="D103" s="1" t="e">
        <f>IF(OR(Table1[[#This Row],[Type (TX, RX, TRX, Oscillator)]]="TRX",Table1[[#This Row],[Type (TX, RX, TRX, Oscillator)]]="TRX FE"),A103,#N/A)</f>
        <v>#N/A</v>
      </c>
      <c r="E103" s="1">
        <f>IF(Table1[[#This Row],[Type (TX, RX, TRX, Oscillator)]]="Oscillator",A103,#N/A)</f>
        <v>16</v>
      </c>
      <c r="F103" s="1" t="e">
        <f>IF(Table1[[#This Row],[Type (TX, RX, TRX, Oscillator)]]="Relay",A103,#N/A)</f>
        <v>#N/A</v>
      </c>
      <c r="H103" s="1">
        <f>IF(Table1[[#This Row],[Process (CMOS_Bulk, CMOS_SOI, CMOS_FinFET, SiGe)]]&lt;&gt;"",Table1[[#This Row],[TX '# of Polarization]]+Table1[[#This Row],[RX '# of Polarization]],#N/A)</f>
        <v>1</v>
      </c>
      <c r="I103" s="1" t="e">
        <f>IF(OR(Table1[[#This Row],[Type (TX, RX, TRX, Oscillator)]]="TX", Table1[[#This Row],[Type (TX, RX, TRX, Oscillator)]]="TX FE"),H103,#N/A)</f>
        <v>#N/A</v>
      </c>
      <c r="J103" s="1" t="e">
        <f>IF(OR(Table1[[#This Row],[Type (TX, RX, TRX, Oscillator)]]="RX", Table1[[#This Row],[Type (TX, RX, TRX, Oscillator)]]="RX FE"),H103,#N/A)</f>
        <v>#N/A</v>
      </c>
      <c r="K103" s="1" t="e">
        <f>IF(OR(Table1[[#This Row],[Type (TX, RX, TRX, Oscillator)]]="TRX",Table1[[#This Row],[Type (TX, RX, TRX, Oscillator)]]="TRX FE"),H103,#N/A)</f>
        <v>#N/A</v>
      </c>
      <c r="L103" s="1">
        <f>IF(Table1[[#This Row],[Type (TX, RX, TRX, Oscillator)]]="Oscillator",H103,#N/A)</f>
        <v>1</v>
      </c>
      <c r="M103" s="1" t="e">
        <f>IF(Table1[[#This Row],[Type (TX, RX, TRX, Oscillator)]]="Relay",H103,#N/A)</f>
        <v>#N/A</v>
      </c>
    </row>
    <row r="104" spans="1:13" x14ac:dyDescent="0.2">
      <c r="A104" s="1">
        <f>IF(OR(Table1[[#This Row],['# of TX Element per IC]]&lt;&gt;"",Table1[[#This Row],['# of RX Element per IC]]&lt;&gt;""),Table1[[#This Row],['# of TX Element per IC]]+Table1[[#This Row],['# of RX Element per IC]],#N/A)</f>
        <v>8</v>
      </c>
      <c r="B104" s="1">
        <f>IF(OR(Table1[[#This Row],[Type (TX, RX, TRX, Oscillator)]]="TX", Table1[[#This Row],[Type (TX, RX, TRX, Oscillator)]]="TX FE"),A104,#N/A)</f>
        <v>8</v>
      </c>
      <c r="C104" s="1" t="e">
        <f>IF(OR(Table1[[#This Row],[Type (TX, RX, TRX, Oscillator)]]="RX", Table1[[#This Row],[Type (TX, RX, TRX, Oscillator)]]="RX FE"),A104,#N/A)</f>
        <v>#N/A</v>
      </c>
      <c r="D104" s="1" t="e">
        <f>IF(OR(Table1[[#This Row],[Type (TX, RX, TRX, Oscillator)]]="TRX",Table1[[#This Row],[Type (TX, RX, TRX, Oscillator)]]="TRX FE"),A104,#N/A)</f>
        <v>#N/A</v>
      </c>
      <c r="E104" s="1" t="e">
        <f>IF(Table1[[#This Row],[Type (TX, RX, TRX, Oscillator)]]="Oscillator",A104,#N/A)</f>
        <v>#N/A</v>
      </c>
      <c r="F104" s="1" t="e">
        <f>IF(Table1[[#This Row],[Type (TX, RX, TRX, Oscillator)]]="Relay",A104,#N/A)</f>
        <v>#N/A</v>
      </c>
      <c r="H104" s="1" t="e">
        <f>IF(Table1[[#This Row],[Process (CMOS_Bulk, CMOS_SOI, CMOS_FinFET, SiGe)]]&lt;&gt;"",Table1[[#This Row],[TX '# of Polarization]]+Table1[[#This Row],[RX '# of Polarization]],#N/A)</f>
        <v>#N/A</v>
      </c>
      <c r="I104" s="1" t="e">
        <f>IF(OR(Table1[[#This Row],[Type (TX, RX, TRX, Oscillator)]]="TX", Table1[[#This Row],[Type (TX, RX, TRX, Oscillator)]]="TX FE"),H104,#N/A)</f>
        <v>#N/A</v>
      </c>
      <c r="J104" s="1" t="e">
        <f>IF(OR(Table1[[#This Row],[Type (TX, RX, TRX, Oscillator)]]="RX", Table1[[#This Row],[Type (TX, RX, TRX, Oscillator)]]="RX FE"),H104,#N/A)</f>
        <v>#N/A</v>
      </c>
      <c r="K104" s="1" t="e">
        <f>IF(OR(Table1[[#This Row],[Type (TX, RX, TRX, Oscillator)]]="TRX",Table1[[#This Row],[Type (TX, RX, TRX, Oscillator)]]="TRX FE"),H104,#N/A)</f>
        <v>#N/A</v>
      </c>
      <c r="L104" s="1" t="e">
        <f>IF(Table1[[#This Row],[Type (TX, RX, TRX, Oscillator)]]="Oscillator",H104,#N/A)</f>
        <v>#N/A</v>
      </c>
      <c r="M104" s="1" t="e">
        <f>IF(Table1[[#This Row],[Type (TX, RX, TRX, Oscillator)]]="Relay",H104,#N/A)</f>
        <v>#N/A</v>
      </c>
    </row>
    <row r="105" spans="1:13" x14ac:dyDescent="0.2">
      <c r="A105" s="1">
        <f>IF(OR(Table1[[#This Row],['# of TX Element per IC]]&lt;&gt;"",Table1[[#This Row],['# of RX Element per IC]]&lt;&gt;""),Table1[[#This Row],['# of TX Element per IC]]+Table1[[#This Row],['# of RX Element per IC]],#N/A)</f>
        <v>8</v>
      </c>
      <c r="B105" s="1" t="e">
        <f>IF(OR(Table1[[#This Row],[Type (TX, RX, TRX, Oscillator)]]="TX", Table1[[#This Row],[Type (TX, RX, TRX, Oscillator)]]="TX FE"),A105,#N/A)</f>
        <v>#N/A</v>
      </c>
      <c r="C105" s="1" t="e">
        <f>IF(OR(Table1[[#This Row],[Type (TX, RX, TRX, Oscillator)]]="RX", Table1[[#This Row],[Type (TX, RX, TRX, Oscillator)]]="RX FE"),A105,#N/A)</f>
        <v>#N/A</v>
      </c>
      <c r="D105" s="1">
        <f>IF(OR(Table1[[#This Row],[Type (TX, RX, TRX, Oscillator)]]="TRX",Table1[[#This Row],[Type (TX, RX, TRX, Oscillator)]]="TRX FE"),A105,#N/A)</f>
        <v>8</v>
      </c>
      <c r="E105" s="1" t="e">
        <f>IF(Table1[[#This Row],[Type (TX, RX, TRX, Oscillator)]]="Oscillator",A105,#N/A)</f>
        <v>#N/A</v>
      </c>
      <c r="F105" s="1" t="e">
        <f>IF(Table1[[#This Row],[Type (TX, RX, TRX, Oscillator)]]="Relay",A105,#N/A)</f>
        <v>#N/A</v>
      </c>
      <c r="H105" s="1">
        <f>IF(Table1[[#This Row],[Process (CMOS_Bulk, CMOS_SOI, CMOS_FinFET, SiGe)]]&lt;&gt;"",Table1[[#This Row],[TX '# of Polarization]]+Table1[[#This Row],[RX '# of Polarization]],#N/A)</f>
        <v>2</v>
      </c>
      <c r="I105" s="1" t="e">
        <f>IF(OR(Table1[[#This Row],[Type (TX, RX, TRX, Oscillator)]]="TX", Table1[[#This Row],[Type (TX, RX, TRX, Oscillator)]]="TX FE"),H105,#N/A)</f>
        <v>#N/A</v>
      </c>
      <c r="J105" s="1" t="e">
        <f>IF(OR(Table1[[#This Row],[Type (TX, RX, TRX, Oscillator)]]="RX", Table1[[#This Row],[Type (TX, RX, TRX, Oscillator)]]="RX FE"),H105,#N/A)</f>
        <v>#N/A</v>
      </c>
      <c r="K105" s="1">
        <f>IF(OR(Table1[[#This Row],[Type (TX, RX, TRX, Oscillator)]]="TRX",Table1[[#This Row],[Type (TX, RX, TRX, Oscillator)]]="TRX FE"),H105,#N/A)</f>
        <v>2</v>
      </c>
      <c r="L105" s="1" t="e">
        <f>IF(Table1[[#This Row],[Type (TX, RX, TRX, Oscillator)]]="Oscillator",H105,#N/A)</f>
        <v>#N/A</v>
      </c>
      <c r="M105" s="1" t="e">
        <f>IF(Table1[[#This Row],[Type (TX, RX, TRX, Oscillator)]]="Relay",H105,#N/A)</f>
        <v>#N/A</v>
      </c>
    </row>
    <row r="106" spans="1:13" x14ac:dyDescent="0.2">
      <c r="A106" s="1">
        <f>IF(OR(Table1[[#This Row],['# of TX Element per IC]]&lt;&gt;"",Table1[[#This Row],['# of RX Element per IC]]&lt;&gt;""),Table1[[#This Row],['# of TX Element per IC]]+Table1[[#This Row],['# of RX Element per IC]],#N/A)</f>
        <v>8</v>
      </c>
      <c r="B106" s="1" t="e">
        <f>IF(OR(Table1[[#This Row],[Type (TX, RX, TRX, Oscillator)]]="TX", Table1[[#This Row],[Type (TX, RX, TRX, Oscillator)]]="TX FE"),A106,#N/A)</f>
        <v>#N/A</v>
      </c>
      <c r="C106" s="1" t="e">
        <f>IF(OR(Table1[[#This Row],[Type (TX, RX, TRX, Oscillator)]]="RX", Table1[[#This Row],[Type (TX, RX, TRX, Oscillator)]]="RX FE"),A106,#N/A)</f>
        <v>#N/A</v>
      </c>
      <c r="D106" s="1">
        <f>IF(OR(Table1[[#This Row],[Type (TX, RX, TRX, Oscillator)]]="TRX",Table1[[#This Row],[Type (TX, RX, TRX, Oscillator)]]="TRX FE"),A106,#N/A)</f>
        <v>8</v>
      </c>
      <c r="E106" s="1" t="e">
        <f>IF(Table1[[#This Row],[Type (TX, RX, TRX, Oscillator)]]="Oscillator",A106,#N/A)</f>
        <v>#N/A</v>
      </c>
      <c r="F106" s="1" t="e">
        <f>IF(Table1[[#This Row],[Type (TX, RX, TRX, Oscillator)]]="Relay",A106,#N/A)</f>
        <v>#N/A</v>
      </c>
      <c r="H106" s="1">
        <f>IF(Table1[[#This Row],[Process (CMOS_Bulk, CMOS_SOI, CMOS_FinFET, SiGe)]]&lt;&gt;"",Table1[[#This Row],[TX '# of Polarization]]+Table1[[#This Row],[RX '# of Polarization]],#N/A)</f>
        <v>2</v>
      </c>
      <c r="I106" s="1" t="e">
        <f>IF(OR(Table1[[#This Row],[Type (TX, RX, TRX, Oscillator)]]="TX", Table1[[#This Row],[Type (TX, RX, TRX, Oscillator)]]="TX FE"),H106,#N/A)</f>
        <v>#N/A</v>
      </c>
      <c r="J106" s="1" t="e">
        <f>IF(OR(Table1[[#This Row],[Type (TX, RX, TRX, Oscillator)]]="RX", Table1[[#This Row],[Type (TX, RX, TRX, Oscillator)]]="RX FE"),H106,#N/A)</f>
        <v>#N/A</v>
      </c>
      <c r="K106" s="1">
        <f>IF(OR(Table1[[#This Row],[Type (TX, RX, TRX, Oscillator)]]="TRX",Table1[[#This Row],[Type (TX, RX, TRX, Oscillator)]]="TRX FE"),H106,#N/A)</f>
        <v>2</v>
      </c>
      <c r="L106" s="1" t="e">
        <f>IF(Table1[[#This Row],[Type (TX, RX, TRX, Oscillator)]]="Oscillator",H106,#N/A)</f>
        <v>#N/A</v>
      </c>
      <c r="M106" s="1" t="e">
        <f>IF(Table1[[#This Row],[Type (TX, RX, TRX, Oscillator)]]="Relay",H106,#N/A)</f>
        <v>#N/A</v>
      </c>
    </row>
    <row r="107" spans="1:13" x14ac:dyDescent="0.2">
      <c r="A107" s="1">
        <f>IF(OR(Table1[[#This Row],['# of TX Element per IC]]&lt;&gt;"",Table1[[#This Row],['# of RX Element per IC]]&lt;&gt;""),Table1[[#This Row],['# of TX Element per IC]]+Table1[[#This Row],['# of RX Element per IC]],#N/A)</f>
        <v>4</v>
      </c>
      <c r="B107" s="1">
        <f>IF(OR(Table1[[#This Row],[Type (TX, RX, TRX, Oscillator)]]="TX", Table1[[#This Row],[Type (TX, RX, TRX, Oscillator)]]="TX FE"),A107,#N/A)</f>
        <v>4</v>
      </c>
      <c r="C107" s="1" t="e">
        <f>IF(OR(Table1[[#This Row],[Type (TX, RX, TRX, Oscillator)]]="RX", Table1[[#This Row],[Type (TX, RX, TRX, Oscillator)]]="RX FE"),A107,#N/A)</f>
        <v>#N/A</v>
      </c>
      <c r="D107" s="1" t="e">
        <f>IF(OR(Table1[[#This Row],[Type (TX, RX, TRX, Oscillator)]]="TRX",Table1[[#This Row],[Type (TX, RX, TRX, Oscillator)]]="TRX FE"),A107,#N/A)</f>
        <v>#N/A</v>
      </c>
      <c r="E107" s="1" t="e">
        <f>IF(Table1[[#This Row],[Type (TX, RX, TRX, Oscillator)]]="Oscillator",A107,#N/A)</f>
        <v>#N/A</v>
      </c>
      <c r="F107" s="1" t="e">
        <f>IF(Table1[[#This Row],[Type (TX, RX, TRX, Oscillator)]]="Relay",A107,#N/A)</f>
        <v>#N/A</v>
      </c>
      <c r="H107" s="1" t="e">
        <f>IF(Table1[[#This Row],[Process (CMOS_Bulk, CMOS_SOI, CMOS_FinFET, SiGe)]]&lt;&gt;"",Table1[[#This Row],[TX '# of Polarization]]+Table1[[#This Row],[RX '# of Polarization]],#N/A)</f>
        <v>#N/A</v>
      </c>
      <c r="I107" s="1" t="e">
        <f>IF(OR(Table1[[#This Row],[Type (TX, RX, TRX, Oscillator)]]="TX", Table1[[#This Row],[Type (TX, RX, TRX, Oscillator)]]="TX FE"),H107,#N/A)</f>
        <v>#N/A</v>
      </c>
      <c r="J107" s="1" t="e">
        <f>IF(OR(Table1[[#This Row],[Type (TX, RX, TRX, Oscillator)]]="RX", Table1[[#This Row],[Type (TX, RX, TRX, Oscillator)]]="RX FE"),H107,#N/A)</f>
        <v>#N/A</v>
      </c>
      <c r="K107" s="1" t="e">
        <f>IF(OR(Table1[[#This Row],[Type (TX, RX, TRX, Oscillator)]]="TRX",Table1[[#This Row],[Type (TX, RX, TRX, Oscillator)]]="TRX FE"),H107,#N/A)</f>
        <v>#N/A</v>
      </c>
      <c r="L107" s="1" t="e">
        <f>IF(Table1[[#This Row],[Type (TX, RX, TRX, Oscillator)]]="Oscillator",H107,#N/A)</f>
        <v>#N/A</v>
      </c>
      <c r="M107" s="1" t="e">
        <f>IF(Table1[[#This Row],[Type (TX, RX, TRX, Oscillator)]]="Relay",H107,#N/A)</f>
        <v>#N/A</v>
      </c>
    </row>
    <row r="108" spans="1:13" x14ac:dyDescent="0.2">
      <c r="A108" s="1">
        <f>IF(OR(Table1[[#This Row],['# of TX Element per IC]]&lt;&gt;"",Table1[[#This Row],['# of RX Element per IC]]&lt;&gt;""),Table1[[#This Row],['# of TX Element per IC]]+Table1[[#This Row],['# of RX Element per IC]],#N/A)</f>
        <v>16</v>
      </c>
      <c r="B108" s="1" t="e">
        <f>IF(OR(Table1[[#This Row],[Type (TX, RX, TRX, Oscillator)]]="TX", Table1[[#This Row],[Type (TX, RX, TRX, Oscillator)]]="TX FE"),A108,#N/A)</f>
        <v>#N/A</v>
      </c>
      <c r="C108" s="1" t="e">
        <f>IF(OR(Table1[[#This Row],[Type (TX, RX, TRX, Oscillator)]]="RX", Table1[[#This Row],[Type (TX, RX, TRX, Oscillator)]]="RX FE"),A108,#N/A)</f>
        <v>#N/A</v>
      </c>
      <c r="D108" s="1" t="e">
        <f>IF(OR(Table1[[#This Row],[Type (TX, RX, TRX, Oscillator)]]="TRX",Table1[[#This Row],[Type (TX, RX, TRX, Oscillator)]]="TRX FE"),A108,#N/A)</f>
        <v>#N/A</v>
      </c>
      <c r="E108" s="1">
        <f>IF(Table1[[#This Row],[Type (TX, RX, TRX, Oscillator)]]="Oscillator",A108,#N/A)</f>
        <v>16</v>
      </c>
      <c r="F108" s="1" t="e">
        <f>IF(Table1[[#This Row],[Type (TX, RX, TRX, Oscillator)]]="Relay",A108,#N/A)</f>
        <v>#N/A</v>
      </c>
      <c r="H108" s="1">
        <f>IF(Table1[[#This Row],[Process (CMOS_Bulk, CMOS_SOI, CMOS_FinFET, SiGe)]]&lt;&gt;"",Table1[[#This Row],[TX '# of Polarization]]+Table1[[#This Row],[RX '# of Polarization]],#N/A)</f>
        <v>1</v>
      </c>
      <c r="I108" s="1" t="e">
        <f>IF(OR(Table1[[#This Row],[Type (TX, RX, TRX, Oscillator)]]="TX", Table1[[#This Row],[Type (TX, RX, TRX, Oscillator)]]="TX FE"),H108,#N/A)</f>
        <v>#N/A</v>
      </c>
      <c r="J108" s="1" t="e">
        <f>IF(OR(Table1[[#This Row],[Type (TX, RX, TRX, Oscillator)]]="RX", Table1[[#This Row],[Type (TX, RX, TRX, Oscillator)]]="RX FE"),H108,#N/A)</f>
        <v>#N/A</v>
      </c>
      <c r="K108" s="1" t="e">
        <f>IF(OR(Table1[[#This Row],[Type (TX, RX, TRX, Oscillator)]]="TRX",Table1[[#This Row],[Type (TX, RX, TRX, Oscillator)]]="TRX FE"),H108,#N/A)</f>
        <v>#N/A</v>
      </c>
      <c r="L108" s="1">
        <f>IF(Table1[[#This Row],[Type (TX, RX, TRX, Oscillator)]]="Oscillator",H108,#N/A)</f>
        <v>1</v>
      </c>
      <c r="M108" s="1" t="e">
        <f>IF(Table1[[#This Row],[Type (TX, RX, TRX, Oscillator)]]="Relay",H108,#N/A)</f>
        <v>#N/A</v>
      </c>
    </row>
    <row r="109" spans="1:13" x14ac:dyDescent="0.2">
      <c r="A109" s="1">
        <f>IF(OR(Table1[[#This Row],['# of TX Element per IC]]&lt;&gt;"",Table1[[#This Row],['# of RX Element per IC]]&lt;&gt;""),Table1[[#This Row],['# of TX Element per IC]]+Table1[[#This Row],['# of RX Element per IC]],#N/A)</f>
        <v>16</v>
      </c>
      <c r="B109" s="1" t="e">
        <f>IF(OR(Table1[[#This Row],[Type (TX, RX, TRX, Oscillator)]]="TX", Table1[[#This Row],[Type (TX, RX, TRX, Oscillator)]]="TX FE"),A109,#N/A)</f>
        <v>#N/A</v>
      </c>
      <c r="C109" s="1" t="e">
        <f>IF(OR(Table1[[#This Row],[Type (TX, RX, TRX, Oscillator)]]="RX", Table1[[#This Row],[Type (TX, RX, TRX, Oscillator)]]="RX FE"),A109,#N/A)</f>
        <v>#N/A</v>
      </c>
      <c r="D109" s="1" t="e">
        <f>IF(OR(Table1[[#This Row],[Type (TX, RX, TRX, Oscillator)]]="TRX",Table1[[#This Row],[Type (TX, RX, TRX, Oscillator)]]="TRX FE"),A109,#N/A)</f>
        <v>#N/A</v>
      </c>
      <c r="E109" s="1">
        <f>IF(Table1[[#This Row],[Type (TX, RX, TRX, Oscillator)]]="Oscillator",A109,#N/A)</f>
        <v>16</v>
      </c>
      <c r="F109" s="1" t="e">
        <f>IF(Table1[[#This Row],[Type (TX, RX, TRX, Oscillator)]]="Relay",A109,#N/A)</f>
        <v>#N/A</v>
      </c>
      <c r="H109" s="1">
        <f>IF(Table1[[#This Row],[Process (CMOS_Bulk, CMOS_SOI, CMOS_FinFET, SiGe)]]&lt;&gt;"",Table1[[#This Row],[TX '# of Polarization]]+Table1[[#This Row],[RX '# of Polarization]],#N/A)</f>
        <v>1</v>
      </c>
      <c r="I109" s="1" t="e">
        <f>IF(OR(Table1[[#This Row],[Type (TX, RX, TRX, Oscillator)]]="TX", Table1[[#This Row],[Type (TX, RX, TRX, Oscillator)]]="TX FE"),H109,#N/A)</f>
        <v>#N/A</v>
      </c>
      <c r="J109" s="1" t="e">
        <f>IF(OR(Table1[[#This Row],[Type (TX, RX, TRX, Oscillator)]]="RX", Table1[[#This Row],[Type (TX, RX, TRX, Oscillator)]]="RX FE"),H109,#N/A)</f>
        <v>#N/A</v>
      </c>
      <c r="K109" s="1" t="e">
        <f>IF(OR(Table1[[#This Row],[Type (TX, RX, TRX, Oscillator)]]="TRX",Table1[[#This Row],[Type (TX, RX, TRX, Oscillator)]]="TRX FE"),H109,#N/A)</f>
        <v>#N/A</v>
      </c>
      <c r="L109" s="1">
        <f>IF(Table1[[#This Row],[Type (TX, RX, TRX, Oscillator)]]="Oscillator",H109,#N/A)</f>
        <v>1</v>
      </c>
      <c r="M109" s="1" t="e">
        <f>IF(Table1[[#This Row],[Type (TX, RX, TRX, Oscillator)]]="Relay",H109,#N/A)</f>
        <v>#N/A</v>
      </c>
    </row>
    <row r="110" spans="1:13" x14ac:dyDescent="0.2">
      <c r="A110" s="1">
        <f>IF(OR(Table1[[#This Row],['# of TX Element per IC]]&lt;&gt;"",Table1[[#This Row],['# of RX Element per IC]]&lt;&gt;""),Table1[[#This Row],['# of TX Element per IC]]+Table1[[#This Row],['# of RX Element per IC]],#N/A)</f>
        <v>4</v>
      </c>
      <c r="B110" s="1">
        <f>IF(OR(Table1[[#This Row],[Type (TX, RX, TRX, Oscillator)]]="TX", Table1[[#This Row],[Type (TX, RX, TRX, Oscillator)]]="TX FE"),A110,#N/A)</f>
        <v>4</v>
      </c>
      <c r="C110" s="1" t="e">
        <f>IF(OR(Table1[[#This Row],[Type (TX, RX, TRX, Oscillator)]]="RX", Table1[[#This Row],[Type (TX, RX, TRX, Oscillator)]]="RX FE"),A110,#N/A)</f>
        <v>#N/A</v>
      </c>
      <c r="D110" s="1" t="e">
        <f>IF(OR(Table1[[#This Row],[Type (TX, RX, TRX, Oscillator)]]="TRX",Table1[[#This Row],[Type (TX, RX, TRX, Oscillator)]]="TRX FE"),A110,#N/A)</f>
        <v>#N/A</v>
      </c>
      <c r="E110" s="1" t="e">
        <f>IF(Table1[[#This Row],[Type (TX, RX, TRX, Oscillator)]]="Oscillator",A110,#N/A)</f>
        <v>#N/A</v>
      </c>
      <c r="F110" s="1" t="e">
        <f>IF(Table1[[#This Row],[Type (TX, RX, TRX, Oscillator)]]="Relay",A110,#N/A)</f>
        <v>#N/A</v>
      </c>
      <c r="H110" s="1">
        <f>IF(Table1[[#This Row],[Process (CMOS_Bulk, CMOS_SOI, CMOS_FinFET, SiGe)]]&lt;&gt;"",Table1[[#This Row],[TX '# of Polarization]]+Table1[[#This Row],[RX '# of Polarization]],#N/A)</f>
        <v>1</v>
      </c>
      <c r="I110" s="1">
        <f>IF(OR(Table1[[#This Row],[Type (TX, RX, TRX, Oscillator)]]="TX", Table1[[#This Row],[Type (TX, RX, TRX, Oscillator)]]="TX FE"),H110,#N/A)</f>
        <v>1</v>
      </c>
      <c r="J110" s="1" t="e">
        <f>IF(OR(Table1[[#This Row],[Type (TX, RX, TRX, Oscillator)]]="RX", Table1[[#This Row],[Type (TX, RX, TRX, Oscillator)]]="RX FE"),H110,#N/A)</f>
        <v>#N/A</v>
      </c>
      <c r="K110" s="1" t="e">
        <f>IF(OR(Table1[[#This Row],[Type (TX, RX, TRX, Oscillator)]]="TRX",Table1[[#This Row],[Type (TX, RX, TRX, Oscillator)]]="TRX FE"),H110,#N/A)</f>
        <v>#N/A</v>
      </c>
      <c r="L110" s="1" t="e">
        <f>IF(Table1[[#This Row],[Type (TX, RX, TRX, Oscillator)]]="Oscillator",H110,#N/A)</f>
        <v>#N/A</v>
      </c>
      <c r="M110" s="1" t="e">
        <f>IF(Table1[[#This Row],[Type (TX, RX, TRX, Oscillator)]]="Relay",H110,#N/A)</f>
        <v>#N/A</v>
      </c>
    </row>
    <row r="111" spans="1:13" x14ac:dyDescent="0.2">
      <c r="A111" s="1">
        <f>IF(OR(Table1[[#This Row],['# of TX Element per IC]]&lt;&gt;"",Table1[[#This Row],['# of RX Element per IC]]&lt;&gt;""),Table1[[#This Row],['# of TX Element per IC]]+Table1[[#This Row],['# of RX Element per IC]],#N/A)</f>
        <v>4</v>
      </c>
      <c r="B111" s="1" t="e">
        <f>IF(OR(Table1[[#This Row],[Type (TX, RX, TRX, Oscillator)]]="TX", Table1[[#This Row],[Type (TX, RX, TRX, Oscillator)]]="TX FE"),A111,#N/A)</f>
        <v>#N/A</v>
      </c>
      <c r="C111" s="1">
        <f>IF(OR(Table1[[#This Row],[Type (TX, RX, TRX, Oscillator)]]="RX", Table1[[#This Row],[Type (TX, RX, TRX, Oscillator)]]="RX FE"),A111,#N/A)</f>
        <v>4</v>
      </c>
      <c r="D111" s="1" t="e">
        <f>IF(OR(Table1[[#This Row],[Type (TX, RX, TRX, Oscillator)]]="TRX",Table1[[#This Row],[Type (TX, RX, TRX, Oscillator)]]="TRX FE"),A111,#N/A)</f>
        <v>#N/A</v>
      </c>
      <c r="E111" s="1" t="e">
        <f>IF(Table1[[#This Row],[Type (TX, RX, TRX, Oscillator)]]="Oscillator",A111,#N/A)</f>
        <v>#N/A</v>
      </c>
      <c r="F111" s="1" t="e">
        <f>IF(Table1[[#This Row],[Type (TX, RX, TRX, Oscillator)]]="Relay",A111,#N/A)</f>
        <v>#N/A</v>
      </c>
      <c r="H111" s="1">
        <f>IF(Table1[[#This Row],[Process (CMOS_Bulk, CMOS_SOI, CMOS_FinFET, SiGe)]]&lt;&gt;"",Table1[[#This Row],[TX '# of Polarization]]+Table1[[#This Row],[RX '# of Polarization]],#N/A)</f>
        <v>1</v>
      </c>
      <c r="I111" s="1" t="e">
        <f>IF(OR(Table1[[#This Row],[Type (TX, RX, TRX, Oscillator)]]="TX", Table1[[#This Row],[Type (TX, RX, TRX, Oscillator)]]="TX FE"),H111,#N/A)</f>
        <v>#N/A</v>
      </c>
      <c r="J111" s="1">
        <f>IF(OR(Table1[[#This Row],[Type (TX, RX, TRX, Oscillator)]]="RX", Table1[[#This Row],[Type (TX, RX, TRX, Oscillator)]]="RX FE"),H111,#N/A)</f>
        <v>1</v>
      </c>
      <c r="K111" s="1" t="e">
        <f>IF(OR(Table1[[#This Row],[Type (TX, RX, TRX, Oscillator)]]="TRX",Table1[[#This Row],[Type (TX, RX, TRX, Oscillator)]]="TRX FE"),H111,#N/A)</f>
        <v>#N/A</v>
      </c>
      <c r="L111" s="1" t="e">
        <f>IF(Table1[[#This Row],[Type (TX, RX, TRX, Oscillator)]]="Oscillator",H111,#N/A)</f>
        <v>#N/A</v>
      </c>
      <c r="M111" s="1" t="e">
        <f>IF(Table1[[#This Row],[Type (TX, RX, TRX, Oscillator)]]="Relay",H111,#N/A)</f>
        <v>#N/A</v>
      </c>
    </row>
    <row r="112" spans="1:13" x14ac:dyDescent="0.2">
      <c r="A112" s="1">
        <f>IF(OR(Table1[[#This Row],['# of TX Element per IC]]&lt;&gt;"",Table1[[#This Row],['# of RX Element per IC]]&lt;&gt;""),Table1[[#This Row],['# of TX Element per IC]]+Table1[[#This Row],['# of RX Element per IC]],#N/A)</f>
        <v>16</v>
      </c>
      <c r="B112" s="1" t="e">
        <f>IF(OR(Table1[[#This Row],[Type (TX, RX, TRX, Oscillator)]]="TX", Table1[[#This Row],[Type (TX, RX, TRX, Oscillator)]]="TX FE"),A112,#N/A)</f>
        <v>#N/A</v>
      </c>
      <c r="C112" s="1" t="e">
        <f>IF(OR(Table1[[#This Row],[Type (TX, RX, TRX, Oscillator)]]="RX", Table1[[#This Row],[Type (TX, RX, TRX, Oscillator)]]="RX FE"),A112,#N/A)</f>
        <v>#N/A</v>
      </c>
      <c r="D112" s="1">
        <f>IF(OR(Table1[[#This Row],[Type (TX, RX, TRX, Oscillator)]]="TRX",Table1[[#This Row],[Type (TX, RX, TRX, Oscillator)]]="TRX FE"),A112,#N/A)</f>
        <v>16</v>
      </c>
      <c r="E112" s="1" t="e">
        <f>IF(Table1[[#This Row],[Type (TX, RX, TRX, Oscillator)]]="Oscillator",A112,#N/A)</f>
        <v>#N/A</v>
      </c>
      <c r="F112" s="1" t="e">
        <f>IF(Table1[[#This Row],[Type (TX, RX, TRX, Oscillator)]]="Relay",A112,#N/A)</f>
        <v>#N/A</v>
      </c>
      <c r="H112" s="1">
        <f>IF(Table1[[#This Row],[Process (CMOS_Bulk, CMOS_SOI, CMOS_FinFET, SiGe)]]&lt;&gt;"",Table1[[#This Row],[TX '# of Polarization]]+Table1[[#This Row],[RX '# of Polarization]],#N/A)</f>
        <v>4</v>
      </c>
      <c r="I112" s="1" t="e">
        <f>IF(OR(Table1[[#This Row],[Type (TX, RX, TRX, Oscillator)]]="TX", Table1[[#This Row],[Type (TX, RX, TRX, Oscillator)]]="TX FE"),H112,#N/A)</f>
        <v>#N/A</v>
      </c>
      <c r="J112" s="1" t="e">
        <f>IF(OR(Table1[[#This Row],[Type (TX, RX, TRX, Oscillator)]]="RX", Table1[[#This Row],[Type (TX, RX, TRX, Oscillator)]]="RX FE"),H112,#N/A)</f>
        <v>#N/A</v>
      </c>
      <c r="K112" s="1">
        <f>IF(OR(Table1[[#This Row],[Type (TX, RX, TRX, Oscillator)]]="TRX",Table1[[#This Row],[Type (TX, RX, TRX, Oscillator)]]="TRX FE"),H112,#N/A)</f>
        <v>4</v>
      </c>
      <c r="L112" s="1" t="e">
        <f>IF(Table1[[#This Row],[Type (TX, RX, TRX, Oscillator)]]="Oscillator",H112,#N/A)</f>
        <v>#N/A</v>
      </c>
      <c r="M112" s="1" t="e">
        <f>IF(Table1[[#This Row],[Type (TX, RX, TRX, Oscillator)]]="Relay",H112,#N/A)</f>
        <v>#N/A</v>
      </c>
    </row>
    <row r="113" spans="1:13" x14ac:dyDescent="0.2">
      <c r="A113" s="1">
        <f>IF(OR(Table1[[#This Row],['# of TX Element per IC]]&lt;&gt;"",Table1[[#This Row],['# of RX Element per IC]]&lt;&gt;""),Table1[[#This Row],['# of TX Element per IC]]+Table1[[#This Row],['# of RX Element per IC]],#N/A)</f>
        <v>4</v>
      </c>
      <c r="B113" s="1">
        <f>IF(OR(Table1[[#This Row],[Type (TX, RX, TRX, Oscillator)]]="TX", Table1[[#This Row],[Type (TX, RX, TRX, Oscillator)]]="TX FE"),A113,#N/A)</f>
        <v>4</v>
      </c>
      <c r="C113" s="1" t="e">
        <f>IF(OR(Table1[[#This Row],[Type (TX, RX, TRX, Oscillator)]]="RX", Table1[[#This Row],[Type (TX, RX, TRX, Oscillator)]]="RX FE"),A113,#N/A)</f>
        <v>#N/A</v>
      </c>
      <c r="D113" s="1" t="e">
        <f>IF(OR(Table1[[#This Row],[Type (TX, RX, TRX, Oscillator)]]="TRX",Table1[[#This Row],[Type (TX, RX, TRX, Oscillator)]]="TRX FE"),A113,#N/A)</f>
        <v>#N/A</v>
      </c>
      <c r="E113" s="1" t="e">
        <f>IF(Table1[[#This Row],[Type (TX, RX, TRX, Oscillator)]]="Oscillator",A113,#N/A)</f>
        <v>#N/A</v>
      </c>
      <c r="F113" s="1" t="e">
        <f>IF(Table1[[#This Row],[Type (TX, RX, TRX, Oscillator)]]="Relay",A113,#N/A)</f>
        <v>#N/A</v>
      </c>
      <c r="H113" s="1">
        <f>IF(Table1[[#This Row],[Process (CMOS_Bulk, CMOS_SOI, CMOS_FinFET, SiGe)]]&lt;&gt;"",Table1[[#This Row],[TX '# of Polarization]]+Table1[[#This Row],[RX '# of Polarization]],#N/A)</f>
        <v>1</v>
      </c>
      <c r="I113" s="1">
        <f>IF(OR(Table1[[#This Row],[Type (TX, RX, TRX, Oscillator)]]="TX", Table1[[#This Row],[Type (TX, RX, TRX, Oscillator)]]="TX FE"),H113,#N/A)</f>
        <v>1</v>
      </c>
      <c r="J113" s="1" t="e">
        <f>IF(OR(Table1[[#This Row],[Type (TX, RX, TRX, Oscillator)]]="RX", Table1[[#This Row],[Type (TX, RX, TRX, Oscillator)]]="RX FE"),H113,#N/A)</f>
        <v>#N/A</v>
      </c>
      <c r="K113" s="1" t="e">
        <f>IF(OR(Table1[[#This Row],[Type (TX, RX, TRX, Oscillator)]]="TRX",Table1[[#This Row],[Type (TX, RX, TRX, Oscillator)]]="TRX FE"),H113,#N/A)</f>
        <v>#N/A</v>
      </c>
      <c r="L113" s="1" t="e">
        <f>IF(Table1[[#This Row],[Type (TX, RX, TRX, Oscillator)]]="Oscillator",H113,#N/A)</f>
        <v>#N/A</v>
      </c>
      <c r="M113" s="1" t="e">
        <f>IF(Table1[[#This Row],[Type (TX, RX, TRX, Oscillator)]]="Relay",H113,#N/A)</f>
        <v>#N/A</v>
      </c>
    </row>
    <row r="114" spans="1:13" x14ac:dyDescent="0.2">
      <c r="A114" s="1">
        <f>IF(OR(Table1[[#This Row],['# of TX Element per IC]]&lt;&gt;"",Table1[[#This Row],['# of RX Element per IC]]&lt;&gt;""),Table1[[#This Row],['# of TX Element per IC]]+Table1[[#This Row],['# of RX Element per IC]],#N/A)</f>
        <v>4</v>
      </c>
      <c r="B114" s="1" t="e">
        <f>IF(OR(Table1[[#This Row],[Type (TX, RX, TRX, Oscillator)]]="TX", Table1[[#This Row],[Type (TX, RX, TRX, Oscillator)]]="TX FE"),A114,#N/A)</f>
        <v>#N/A</v>
      </c>
      <c r="C114" s="1">
        <f>IF(OR(Table1[[#This Row],[Type (TX, RX, TRX, Oscillator)]]="RX", Table1[[#This Row],[Type (TX, RX, TRX, Oscillator)]]="RX FE"),A114,#N/A)</f>
        <v>4</v>
      </c>
      <c r="D114" s="1" t="e">
        <f>IF(OR(Table1[[#This Row],[Type (TX, RX, TRX, Oscillator)]]="TRX",Table1[[#This Row],[Type (TX, RX, TRX, Oscillator)]]="TRX FE"),A114,#N/A)</f>
        <v>#N/A</v>
      </c>
      <c r="E114" s="1" t="e">
        <f>IF(Table1[[#This Row],[Type (TX, RX, TRX, Oscillator)]]="Oscillator",A114,#N/A)</f>
        <v>#N/A</v>
      </c>
      <c r="F114" s="1" t="e">
        <f>IF(Table1[[#This Row],[Type (TX, RX, TRX, Oscillator)]]="Relay",A114,#N/A)</f>
        <v>#N/A</v>
      </c>
      <c r="H114" s="1">
        <f>IF(Table1[[#This Row],[Process (CMOS_Bulk, CMOS_SOI, CMOS_FinFET, SiGe)]]&lt;&gt;"",Table1[[#This Row],[TX '# of Polarization]]+Table1[[#This Row],[RX '# of Polarization]],#N/A)</f>
        <v>1</v>
      </c>
      <c r="I114" s="1" t="e">
        <f>IF(OR(Table1[[#This Row],[Type (TX, RX, TRX, Oscillator)]]="TX", Table1[[#This Row],[Type (TX, RX, TRX, Oscillator)]]="TX FE"),H114,#N/A)</f>
        <v>#N/A</v>
      </c>
      <c r="J114" s="1">
        <f>IF(OR(Table1[[#This Row],[Type (TX, RX, TRX, Oscillator)]]="RX", Table1[[#This Row],[Type (TX, RX, TRX, Oscillator)]]="RX FE"),H114,#N/A)</f>
        <v>1</v>
      </c>
      <c r="K114" s="1" t="e">
        <f>IF(OR(Table1[[#This Row],[Type (TX, RX, TRX, Oscillator)]]="TRX",Table1[[#This Row],[Type (TX, RX, TRX, Oscillator)]]="TRX FE"),H114,#N/A)</f>
        <v>#N/A</v>
      </c>
      <c r="L114" s="1" t="e">
        <f>IF(Table1[[#This Row],[Type (TX, RX, TRX, Oscillator)]]="Oscillator",H114,#N/A)</f>
        <v>#N/A</v>
      </c>
      <c r="M114" s="1" t="e">
        <f>IF(Table1[[#This Row],[Type (TX, RX, TRX, Oscillator)]]="Relay",H114,#N/A)</f>
        <v>#N/A</v>
      </c>
    </row>
    <row r="115" spans="1:13" x14ac:dyDescent="0.2">
      <c r="A115" s="1">
        <f>IF(OR(Table1[[#This Row],['# of TX Element per IC]]&lt;&gt;"",Table1[[#This Row],['# of RX Element per IC]]&lt;&gt;""),Table1[[#This Row],['# of TX Element per IC]]+Table1[[#This Row],['# of RX Element per IC]],#N/A)</f>
        <v>8</v>
      </c>
      <c r="B115" s="1" t="e">
        <f>IF(OR(Table1[[#This Row],[Type (TX, RX, TRX, Oscillator)]]="TX", Table1[[#This Row],[Type (TX, RX, TRX, Oscillator)]]="TX FE"),A115,#N/A)</f>
        <v>#N/A</v>
      </c>
      <c r="C115" s="1" t="e">
        <f>IF(OR(Table1[[#This Row],[Type (TX, RX, TRX, Oscillator)]]="RX", Table1[[#This Row],[Type (TX, RX, TRX, Oscillator)]]="RX FE"),A115,#N/A)</f>
        <v>#N/A</v>
      </c>
      <c r="D115" s="1">
        <f>IF(OR(Table1[[#This Row],[Type (TX, RX, TRX, Oscillator)]]="TRX",Table1[[#This Row],[Type (TX, RX, TRX, Oscillator)]]="TRX FE"),A115,#N/A)</f>
        <v>8</v>
      </c>
      <c r="E115" s="1" t="e">
        <f>IF(Table1[[#This Row],[Type (TX, RX, TRX, Oscillator)]]="Oscillator",A115,#N/A)</f>
        <v>#N/A</v>
      </c>
      <c r="F115" s="1" t="e">
        <f>IF(Table1[[#This Row],[Type (TX, RX, TRX, Oscillator)]]="Relay",A115,#N/A)</f>
        <v>#N/A</v>
      </c>
      <c r="H115" s="1">
        <f>IF(Table1[[#This Row],[Process (CMOS_Bulk, CMOS_SOI, CMOS_FinFET, SiGe)]]&lt;&gt;"",Table1[[#This Row],[TX '# of Polarization]]+Table1[[#This Row],[RX '# of Polarization]],#N/A)</f>
        <v>2</v>
      </c>
      <c r="I115" s="1" t="e">
        <f>IF(OR(Table1[[#This Row],[Type (TX, RX, TRX, Oscillator)]]="TX", Table1[[#This Row],[Type (TX, RX, TRX, Oscillator)]]="TX FE"),H115,#N/A)</f>
        <v>#N/A</v>
      </c>
      <c r="J115" s="1" t="e">
        <f>IF(OR(Table1[[#This Row],[Type (TX, RX, TRX, Oscillator)]]="RX", Table1[[#This Row],[Type (TX, RX, TRX, Oscillator)]]="RX FE"),H115,#N/A)</f>
        <v>#N/A</v>
      </c>
      <c r="K115" s="1">
        <f>IF(OR(Table1[[#This Row],[Type (TX, RX, TRX, Oscillator)]]="TRX",Table1[[#This Row],[Type (TX, RX, TRX, Oscillator)]]="TRX FE"),H115,#N/A)</f>
        <v>2</v>
      </c>
      <c r="L115" s="1" t="e">
        <f>IF(Table1[[#This Row],[Type (TX, RX, TRX, Oscillator)]]="Oscillator",H115,#N/A)</f>
        <v>#N/A</v>
      </c>
      <c r="M115" s="1" t="e">
        <f>IF(Table1[[#This Row],[Type (TX, RX, TRX, Oscillator)]]="Relay",H115,#N/A)</f>
        <v>#N/A</v>
      </c>
    </row>
    <row r="116" spans="1:13" x14ac:dyDescent="0.2">
      <c r="A116" s="1">
        <f>IF(OR(Table1[[#This Row],['# of TX Element per IC]]&lt;&gt;"",Table1[[#This Row],['# of RX Element per IC]]&lt;&gt;""),Table1[[#This Row],['# of TX Element per IC]]+Table1[[#This Row],['# of RX Element per IC]],#N/A)</f>
        <v>8</v>
      </c>
      <c r="B116" s="1" t="e">
        <f>IF(OR(Table1[[#This Row],[Type (TX, RX, TRX, Oscillator)]]="TX", Table1[[#This Row],[Type (TX, RX, TRX, Oscillator)]]="TX FE"),A116,#N/A)</f>
        <v>#N/A</v>
      </c>
      <c r="C116" s="1">
        <f>IF(OR(Table1[[#This Row],[Type (TX, RX, TRX, Oscillator)]]="RX", Table1[[#This Row],[Type (TX, RX, TRX, Oscillator)]]="RX FE"),A116,#N/A)</f>
        <v>8</v>
      </c>
      <c r="D116" s="1" t="e">
        <f>IF(OR(Table1[[#This Row],[Type (TX, RX, TRX, Oscillator)]]="TRX",Table1[[#This Row],[Type (TX, RX, TRX, Oscillator)]]="TRX FE"),A116,#N/A)</f>
        <v>#N/A</v>
      </c>
      <c r="E116" s="1" t="e">
        <f>IF(Table1[[#This Row],[Type (TX, RX, TRX, Oscillator)]]="Oscillator",A116,#N/A)</f>
        <v>#N/A</v>
      </c>
      <c r="F116" s="1" t="e">
        <f>IF(Table1[[#This Row],[Type (TX, RX, TRX, Oscillator)]]="Relay",A116,#N/A)</f>
        <v>#N/A</v>
      </c>
      <c r="H116" s="1">
        <f>IF(Table1[[#This Row],[Process (CMOS_Bulk, CMOS_SOI, CMOS_FinFET, SiGe)]]&lt;&gt;"",Table1[[#This Row],[TX '# of Polarization]]+Table1[[#This Row],[RX '# of Polarization]],#N/A)</f>
        <v>1</v>
      </c>
      <c r="I116" s="1" t="e">
        <f>IF(OR(Table1[[#This Row],[Type (TX, RX, TRX, Oscillator)]]="TX", Table1[[#This Row],[Type (TX, RX, TRX, Oscillator)]]="TX FE"),H116,#N/A)</f>
        <v>#N/A</v>
      </c>
      <c r="J116" s="1">
        <f>IF(OR(Table1[[#This Row],[Type (TX, RX, TRX, Oscillator)]]="RX", Table1[[#This Row],[Type (TX, RX, TRX, Oscillator)]]="RX FE"),H116,#N/A)</f>
        <v>1</v>
      </c>
      <c r="K116" s="1" t="e">
        <f>IF(OR(Table1[[#This Row],[Type (TX, RX, TRX, Oscillator)]]="TRX",Table1[[#This Row],[Type (TX, RX, TRX, Oscillator)]]="TRX FE"),H116,#N/A)</f>
        <v>#N/A</v>
      </c>
      <c r="L116" s="1" t="e">
        <f>IF(Table1[[#This Row],[Type (TX, RX, TRX, Oscillator)]]="Oscillator",H116,#N/A)</f>
        <v>#N/A</v>
      </c>
      <c r="M116" s="1" t="e">
        <f>IF(Table1[[#This Row],[Type (TX, RX, TRX, Oscillator)]]="Relay",H116,#N/A)</f>
        <v>#N/A</v>
      </c>
    </row>
    <row r="117" spans="1:13" x14ac:dyDescent="0.2">
      <c r="A117" s="1">
        <f>IF(OR(Table1[[#This Row],['# of TX Element per IC]]&lt;&gt;"",Table1[[#This Row],['# of RX Element per IC]]&lt;&gt;""),Table1[[#This Row],['# of TX Element per IC]]+Table1[[#This Row],['# of RX Element per IC]],#N/A)</f>
        <v>4</v>
      </c>
      <c r="B117" s="1">
        <f>IF(OR(Table1[[#This Row],[Type (TX, RX, TRX, Oscillator)]]="TX", Table1[[#This Row],[Type (TX, RX, TRX, Oscillator)]]="TX FE"),A117,#N/A)</f>
        <v>4</v>
      </c>
      <c r="C117" s="1" t="e">
        <f>IF(OR(Table1[[#This Row],[Type (TX, RX, TRX, Oscillator)]]="RX", Table1[[#This Row],[Type (TX, RX, TRX, Oscillator)]]="RX FE"),A117,#N/A)</f>
        <v>#N/A</v>
      </c>
      <c r="D117" s="1" t="e">
        <f>IF(OR(Table1[[#This Row],[Type (TX, RX, TRX, Oscillator)]]="TRX",Table1[[#This Row],[Type (TX, RX, TRX, Oscillator)]]="TRX FE"),A117,#N/A)</f>
        <v>#N/A</v>
      </c>
      <c r="E117" s="1" t="e">
        <f>IF(Table1[[#This Row],[Type (TX, RX, TRX, Oscillator)]]="Oscillator",A117,#N/A)</f>
        <v>#N/A</v>
      </c>
      <c r="F117" s="1" t="e">
        <f>IF(Table1[[#This Row],[Type (TX, RX, TRX, Oscillator)]]="Relay",A117,#N/A)</f>
        <v>#N/A</v>
      </c>
      <c r="H117" s="1">
        <f>IF(Table1[[#This Row],[Process (CMOS_Bulk, CMOS_SOI, CMOS_FinFET, SiGe)]]&lt;&gt;"",Table1[[#This Row],[TX '# of Polarization]]+Table1[[#This Row],[RX '# of Polarization]],#N/A)</f>
        <v>1</v>
      </c>
      <c r="I117" s="1">
        <f>IF(OR(Table1[[#This Row],[Type (TX, RX, TRX, Oscillator)]]="TX", Table1[[#This Row],[Type (TX, RX, TRX, Oscillator)]]="TX FE"),H117,#N/A)</f>
        <v>1</v>
      </c>
      <c r="J117" s="1" t="e">
        <f>IF(OR(Table1[[#This Row],[Type (TX, RX, TRX, Oscillator)]]="RX", Table1[[#This Row],[Type (TX, RX, TRX, Oscillator)]]="RX FE"),H117,#N/A)</f>
        <v>#N/A</v>
      </c>
      <c r="K117" s="1" t="e">
        <f>IF(OR(Table1[[#This Row],[Type (TX, RX, TRX, Oscillator)]]="TRX",Table1[[#This Row],[Type (TX, RX, TRX, Oscillator)]]="TRX FE"),H117,#N/A)</f>
        <v>#N/A</v>
      </c>
      <c r="L117" s="1" t="e">
        <f>IF(Table1[[#This Row],[Type (TX, RX, TRX, Oscillator)]]="Oscillator",H117,#N/A)</f>
        <v>#N/A</v>
      </c>
      <c r="M117" s="1" t="e">
        <f>IF(Table1[[#This Row],[Type (TX, RX, TRX, Oscillator)]]="Relay",H117,#N/A)</f>
        <v>#N/A</v>
      </c>
    </row>
    <row r="118" spans="1:13" x14ac:dyDescent="0.2">
      <c r="A118" s="1">
        <f>IF(OR(Table1[[#This Row],['# of TX Element per IC]]&lt;&gt;"",Table1[[#This Row],['# of RX Element per IC]]&lt;&gt;""),Table1[[#This Row],['# of TX Element per IC]]+Table1[[#This Row],['# of RX Element per IC]],#N/A)</f>
        <v>2</v>
      </c>
      <c r="B118" s="1" t="e">
        <f>IF(OR(Table1[[#This Row],[Type (TX, RX, TRX, Oscillator)]]="TX", Table1[[#This Row],[Type (TX, RX, TRX, Oscillator)]]="TX FE"),A118,#N/A)</f>
        <v>#N/A</v>
      </c>
      <c r="C118" s="1">
        <f>IF(OR(Table1[[#This Row],[Type (TX, RX, TRX, Oscillator)]]="RX", Table1[[#This Row],[Type (TX, RX, TRX, Oscillator)]]="RX FE"),A118,#N/A)</f>
        <v>2</v>
      </c>
      <c r="D118" s="1" t="e">
        <f>IF(OR(Table1[[#This Row],[Type (TX, RX, TRX, Oscillator)]]="TRX",Table1[[#This Row],[Type (TX, RX, TRX, Oscillator)]]="TRX FE"),A118,#N/A)</f>
        <v>#N/A</v>
      </c>
      <c r="E118" s="1" t="e">
        <f>IF(Table1[[#This Row],[Type (TX, RX, TRX, Oscillator)]]="Oscillator",A118,#N/A)</f>
        <v>#N/A</v>
      </c>
      <c r="F118" s="1" t="e">
        <f>IF(Table1[[#This Row],[Type (TX, RX, TRX, Oscillator)]]="Relay",A118,#N/A)</f>
        <v>#N/A</v>
      </c>
      <c r="H118" s="1">
        <f>IF(Table1[[#This Row],[Process (CMOS_Bulk, CMOS_SOI, CMOS_FinFET, SiGe)]]&lt;&gt;"",Table1[[#This Row],[TX '# of Polarization]]+Table1[[#This Row],[RX '# of Polarization]],#N/A)</f>
        <v>1</v>
      </c>
      <c r="I118" s="1" t="e">
        <f>IF(OR(Table1[[#This Row],[Type (TX, RX, TRX, Oscillator)]]="TX", Table1[[#This Row],[Type (TX, RX, TRX, Oscillator)]]="TX FE"),H118,#N/A)</f>
        <v>#N/A</v>
      </c>
      <c r="J118" s="1">
        <f>IF(OR(Table1[[#This Row],[Type (TX, RX, TRX, Oscillator)]]="RX", Table1[[#This Row],[Type (TX, RX, TRX, Oscillator)]]="RX FE"),H118,#N/A)</f>
        <v>1</v>
      </c>
      <c r="K118" s="1" t="e">
        <f>IF(OR(Table1[[#This Row],[Type (TX, RX, TRX, Oscillator)]]="TRX",Table1[[#This Row],[Type (TX, RX, TRX, Oscillator)]]="TRX FE"),H118,#N/A)</f>
        <v>#N/A</v>
      </c>
      <c r="L118" s="1" t="e">
        <f>IF(Table1[[#This Row],[Type (TX, RX, TRX, Oscillator)]]="Oscillator",H118,#N/A)</f>
        <v>#N/A</v>
      </c>
      <c r="M118" s="1" t="e">
        <f>IF(Table1[[#This Row],[Type (TX, RX, TRX, Oscillator)]]="Relay",H118,#N/A)</f>
        <v>#N/A</v>
      </c>
    </row>
    <row r="119" spans="1:13" x14ac:dyDescent="0.2">
      <c r="A119" s="1">
        <f>IF(OR(Table1[[#This Row],['# of TX Element per IC]]&lt;&gt;"",Table1[[#This Row],['# of RX Element per IC]]&lt;&gt;""),Table1[[#This Row],['# of TX Element per IC]]+Table1[[#This Row],['# of RX Element per IC]],#N/A)</f>
        <v>2</v>
      </c>
      <c r="B119" s="1" t="e">
        <f>IF(OR(Table1[[#This Row],[Type (TX, RX, TRX, Oscillator)]]="TX", Table1[[#This Row],[Type (TX, RX, TRX, Oscillator)]]="TX FE"),A119,#N/A)</f>
        <v>#N/A</v>
      </c>
      <c r="C119" s="1">
        <f>IF(OR(Table1[[#This Row],[Type (TX, RX, TRX, Oscillator)]]="RX", Table1[[#This Row],[Type (TX, RX, TRX, Oscillator)]]="RX FE"),A119,#N/A)</f>
        <v>2</v>
      </c>
      <c r="D119" s="1" t="e">
        <f>IF(OR(Table1[[#This Row],[Type (TX, RX, TRX, Oscillator)]]="TRX",Table1[[#This Row],[Type (TX, RX, TRX, Oscillator)]]="TRX FE"),A119,#N/A)</f>
        <v>#N/A</v>
      </c>
      <c r="E119" s="1" t="e">
        <f>IF(Table1[[#This Row],[Type (TX, RX, TRX, Oscillator)]]="Oscillator",A119,#N/A)</f>
        <v>#N/A</v>
      </c>
      <c r="F119" s="1" t="e">
        <f>IF(Table1[[#This Row],[Type (TX, RX, TRX, Oscillator)]]="Relay",A119,#N/A)</f>
        <v>#N/A</v>
      </c>
      <c r="H119" s="1">
        <f>IF(Table1[[#This Row],[Process (CMOS_Bulk, CMOS_SOI, CMOS_FinFET, SiGe)]]&lt;&gt;"",Table1[[#This Row],[TX '# of Polarization]]+Table1[[#This Row],[RX '# of Polarization]],#N/A)</f>
        <v>1</v>
      </c>
      <c r="I119" s="1" t="e">
        <f>IF(OR(Table1[[#This Row],[Type (TX, RX, TRX, Oscillator)]]="TX", Table1[[#This Row],[Type (TX, RX, TRX, Oscillator)]]="TX FE"),H119,#N/A)</f>
        <v>#N/A</v>
      </c>
      <c r="J119" s="1">
        <f>IF(OR(Table1[[#This Row],[Type (TX, RX, TRX, Oscillator)]]="RX", Table1[[#This Row],[Type (TX, RX, TRX, Oscillator)]]="RX FE"),H119,#N/A)</f>
        <v>1</v>
      </c>
      <c r="K119" s="1" t="e">
        <f>IF(OR(Table1[[#This Row],[Type (TX, RX, TRX, Oscillator)]]="TRX",Table1[[#This Row],[Type (TX, RX, TRX, Oscillator)]]="TRX FE"),H119,#N/A)</f>
        <v>#N/A</v>
      </c>
      <c r="L119" s="1" t="e">
        <f>IF(Table1[[#This Row],[Type (TX, RX, TRX, Oscillator)]]="Oscillator",H119,#N/A)</f>
        <v>#N/A</v>
      </c>
      <c r="M119" s="1" t="e">
        <f>IF(Table1[[#This Row],[Type (TX, RX, TRX, Oscillator)]]="Relay",H119,#N/A)</f>
        <v>#N/A</v>
      </c>
    </row>
    <row r="120" spans="1:13" x14ac:dyDescent="0.2">
      <c r="A120" s="1">
        <f>IF(OR(Table1[[#This Row],['# of TX Element per IC]]&lt;&gt;"",Table1[[#This Row],['# of RX Element per IC]]&lt;&gt;""),Table1[[#This Row],['# of TX Element per IC]]+Table1[[#This Row],['# of RX Element per IC]],#N/A)</f>
        <v>2</v>
      </c>
      <c r="B120" s="1" t="e">
        <f>IF(OR(Table1[[#This Row],[Type (TX, RX, TRX, Oscillator)]]="TX", Table1[[#This Row],[Type (TX, RX, TRX, Oscillator)]]="TX FE"),A120,#N/A)</f>
        <v>#N/A</v>
      </c>
      <c r="C120" s="1">
        <f>IF(OR(Table1[[#This Row],[Type (TX, RX, TRX, Oscillator)]]="RX", Table1[[#This Row],[Type (TX, RX, TRX, Oscillator)]]="RX FE"),A120,#N/A)</f>
        <v>2</v>
      </c>
      <c r="D120" s="1" t="e">
        <f>IF(OR(Table1[[#This Row],[Type (TX, RX, TRX, Oscillator)]]="TRX",Table1[[#This Row],[Type (TX, RX, TRX, Oscillator)]]="TRX FE"),A120,#N/A)</f>
        <v>#N/A</v>
      </c>
      <c r="E120" s="1" t="e">
        <f>IF(Table1[[#This Row],[Type (TX, RX, TRX, Oscillator)]]="Oscillator",A120,#N/A)</f>
        <v>#N/A</v>
      </c>
      <c r="F120" s="1" t="e">
        <f>IF(Table1[[#This Row],[Type (TX, RX, TRX, Oscillator)]]="Relay",A120,#N/A)</f>
        <v>#N/A</v>
      </c>
      <c r="H120" s="1">
        <f>IF(Table1[[#This Row],[Process (CMOS_Bulk, CMOS_SOI, CMOS_FinFET, SiGe)]]&lt;&gt;"",Table1[[#This Row],[TX '# of Polarization]]+Table1[[#This Row],[RX '# of Polarization]],#N/A)</f>
        <v>1</v>
      </c>
      <c r="I120" s="1" t="e">
        <f>IF(OR(Table1[[#This Row],[Type (TX, RX, TRX, Oscillator)]]="TX", Table1[[#This Row],[Type (TX, RX, TRX, Oscillator)]]="TX FE"),H120,#N/A)</f>
        <v>#N/A</v>
      </c>
      <c r="J120" s="1">
        <f>IF(OR(Table1[[#This Row],[Type (TX, RX, TRX, Oscillator)]]="RX", Table1[[#This Row],[Type (TX, RX, TRX, Oscillator)]]="RX FE"),H120,#N/A)</f>
        <v>1</v>
      </c>
      <c r="K120" s="1" t="e">
        <f>IF(OR(Table1[[#This Row],[Type (TX, RX, TRX, Oscillator)]]="TRX",Table1[[#This Row],[Type (TX, RX, TRX, Oscillator)]]="TRX FE"),H120,#N/A)</f>
        <v>#N/A</v>
      </c>
      <c r="L120" s="1" t="e">
        <f>IF(Table1[[#This Row],[Type (TX, RX, TRX, Oscillator)]]="Oscillator",H120,#N/A)</f>
        <v>#N/A</v>
      </c>
      <c r="M120" s="1" t="e">
        <f>IF(Table1[[#This Row],[Type (TX, RX, TRX, Oscillator)]]="Relay",H120,#N/A)</f>
        <v>#N/A</v>
      </c>
    </row>
    <row r="121" spans="1:13" x14ac:dyDescent="0.2">
      <c r="A121" s="1">
        <f>IF(OR(Table1[[#This Row],['# of TX Element per IC]]&lt;&gt;"",Table1[[#This Row],['# of RX Element per IC]]&lt;&gt;""),Table1[[#This Row],['# of TX Element per IC]]+Table1[[#This Row],['# of RX Element per IC]],#N/A)</f>
        <v>2</v>
      </c>
      <c r="B121" s="1" t="e">
        <f>IF(OR(Table1[[#This Row],[Type (TX, RX, TRX, Oscillator)]]="TX", Table1[[#This Row],[Type (TX, RX, TRX, Oscillator)]]="TX FE"),A121,#N/A)</f>
        <v>#N/A</v>
      </c>
      <c r="C121" s="1">
        <f>IF(OR(Table1[[#This Row],[Type (TX, RX, TRX, Oscillator)]]="RX", Table1[[#This Row],[Type (TX, RX, TRX, Oscillator)]]="RX FE"),A121,#N/A)</f>
        <v>2</v>
      </c>
      <c r="D121" s="1" t="e">
        <f>IF(OR(Table1[[#This Row],[Type (TX, RX, TRX, Oscillator)]]="TRX",Table1[[#This Row],[Type (TX, RX, TRX, Oscillator)]]="TRX FE"),A121,#N/A)</f>
        <v>#N/A</v>
      </c>
      <c r="E121" s="1" t="e">
        <f>IF(Table1[[#This Row],[Type (TX, RX, TRX, Oscillator)]]="Oscillator",A121,#N/A)</f>
        <v>#N/A</v>
      </c>
      <c r="F121" s="1" t="e">
        <f>IF(Table1[[#This Row],[Type (TX, RX, TRX, Oscillator)]]="Relay",A121,#N/A)</f>
        <v>#N/A</v>
      </c>
      <c r="H121" s="1">
        <f>IF(Table1[[#This Row],[Process (CMOS_Bulk, CMOS_SOI, CMOS_FinFET, SiGe)]]&lt;&gt;"",Table1[[#This Row],[TX '# of Polarization]]+Table1[[#This Row],[RX '# of Polarization]],#N/A)</f>
        <v>1</v>
      </c>
      <c r="I121" s="1" t="e">
        <f>IF(OR(Table1[[#This Row],[Type (TX, RX, TRX, Oscillator)]]="TX", Table1[[#This Row],[Type (TX, RX, TRX, Oscillator)]]="TX FE"),H121,#N/A)</f>
        <v>#N/A</v>
      </c>
      <c r="J121" s="1">
        <f>IF(OR(Table1[[#This Row],[Type (TX, RX, TRX, Oscillator)]]="RX", Table1[[#This Row],[Type (TX, RX, TRX, Oscillator)]]="RX FE"),H121,#N/A)</f>
        <v>1</v>
      </c>
      <c r="K121" s="1" t="e">
        <f>IF(OR(Table1[[#This Row],[Type (TX, RX, TRX, Oscillator)]]="TRX",Table1[[#This Row],[Type (TX, RX, TRX, Oscillator)]]="TRX FE"),H121,#N/A)</f>
        <v>#N/A</v>
      </c>
      <c r="L121" s="1" t="e">
        <f>IF(Table1[[#This Row],[Type (TX, RX, TRX, Oscillator)]]="Oscillator",H121,#N/A)</f>
        <v>#N/A</v>
      </c>
      <c r="M121" s="1" t="e">
        <f>IF(Table1[[#This Row],[Type (TX, RX, TRX, Oscillator)]]="Relay",H121,#N/A)</f>
        <v>#N/A</v>
      </c>
    </row>
    <row r="122" spans="1:13" x14ac:dyDescent="0.2">
      <c r="A122" s="1">
        <f>IF(OR(Table1[[#This Row],['# of TX Element per IC]]&lt;&gt;"",Table1[[#This Row],['# of RX Element per IC]]&lt;&gt;""),Table1[[#This Row],['# of TX Element per IC]]+Table1[[#This Row],['# of RX Element per IC]],#N/A)</f>
        <v>4</v>
      </c>
      <c r="B122" s="1" t="e">
        <f>IF(OR(Table1[[#This Row],[Type (TX, RX, TRX, Oscillator)]]="TX", Table1[[#This Row],[Type (TX, RX, TRX, Oscillator)]]="TX FE"),A122,#N/A)</f>
        <v>#N/A</v>
      </c>
      <c r="C122" s="1">
        <f>IF(OR(Table1[[#This Row],[Type (TX, RX, TRX, Oscillator)]]="RX", Table1[[#This Row],[Type (TX, RX, TRX, Oscillator)]]="RX FE"),A122,#N/A)</f>
        <v>4</v>
      </c>
      <c r="D122" s="1" t="e">
        <f>IF(OR(Table1[[#This Row],[Type (TX, RX, TRX, Oscillator)]]="TRX",Table1[[#This Row],[Type (TX, RX, TRX, Oscillator)]]="TRX FE"),A122,#N/A)</f>
        <v>#N/A</v>
      </c>
      <c r="E122" s="1" t="e">
        <f>IF(Table1[[#This Row],[Type (TX, RX, TRX, Oscillator)]]="Oscillator",A122,#N/A)</f>
        <v>#N/A</v>
      </c>
      <c r="F122" s="1" t="e">
        <f>IF(Table1[[#This Row],[Type (TX, RX, TRX, Oscillator)]]="Relay",A122,#N/A)</f>
        <v>#N/A</v>
      </c>
      <c r="H122" s="1">
        <f>IF(Table1[[#This Row],[Process (CMOS_Bulk, CMOS_SOI, CMOS_FinFET, SiGe)]]&lt;&gt;"",Table1[[#This Row],[TX '# of Polarization]]+Table1[[#This Row],[RX '# of Polarization]],#N/A)</f>
        <v>1</v>
      </c>
      <c r="I122" s="1" t="e">
        <f>IF(OR(Table1[[#This Row],[Type (TX, RX, TRX, Oscillator)]]="TX", Table1[[#This Row],[Type (TX, RX, TRX, Oscillator)]]="TX FE"),H122,#N/A)</f>
        <v>#N/A</v>
      </c>
      <c r="J122" s="1">
        <f>IF(OR(Table1[[#This Row],[Type (TX, RX, TRX, Oscillator)]]="RX", Table1[[#This Row],[Type (TX, RX, TRX, Oscillator)]]="RX FE"),H122,#N/A)</f>
        <v>1</v>
      </c>
      <c r="K122" s="1" t="e">
        <f>IF(OR(Table1[[#This Row],[Type (TX, RX, TRX, Oscillator)]]="TRX",Table1[[#This Row],[Type (TX, RX, TRX, Oscillator)]]="TRX FE"),H122,#N/A)</f>
        <v>#N/A</v>
      </c>
      <c r="L122" s="1" t="e">
        <f>IF(Table1[[#This Row],[Type (TX, RX, TRX, Oscillator)]]="Oscillator",H122,#N/A)</f>
        <v>#N/A</v>
      </c>
      <c r="M122" s="1" t="e">
        <f>IF(Table1[[#This Row],[Type (TX, RX, TRX, Oscillator)]]="Relay",H122,#N/A)</f>
        <v>#N/A</v>
      </c>
    </row>
    <row r="123" spans="1:13" x14ac:dyDescent="0.2">
      <c r="A123" s="1">
        <f>IF(OR(Table1[[#This Row],['# of TX Element per IC]]&lt;&gt;"",Table1[[#This Row],['# of RX Element per IC]]&lt;&gt;""),Table1[[#This Row],['# of TX Element per IC]]+Table1[[#This Row],['# of RX Element per IC]],#N/A)</f>
        <v>4</v>
      </c>
      <c r="B123" s="1" t="e">
        <f>IF(OR(Table1[[#This Row],[Type (TX, RX, TRX, Oscillator)]]="TX", Table1[[#This Row],[Type (TX, RX, TRX, Oscillator)]]="TX FE"),A123,#N/A)</f>
        <v>#N/A</v>
      </c>
      <c r="C123" s="1">
        <f>IF(OR(Table1[[#This Row],[Type (TX, RX, TRX, Oscillator)]]="RX", Table1[[#This Row],[Type (TX, RX, TRX, Oscillator)]]="RX FE"),A123,#N/A)</f>
        <v>4</v>
      </c>
      <c r="D123" s="1" t="e">
        <f>IF(OR(Table1[[#This Row],[Type (TX, RX, TRX, Oscillator)]]="TRX",Table1[[#This Row],[Type (TX, RX, TRX, Oscillator)]]="TRX FE"),A123,#N/A)</f>
        <v>#N/A</v>
      </c>
      <c r="E123" s="1" t="e">
        <f>IF(Table1[[#This Row],[Type (TX, RX, TRX, Oscillator)]]="Oscillator",A123,#N/A)</f>
        <v>#N/A</v>
      </c>
      <c r="F123" s="1" t="e">
        <f>IF(Table1[[#This Row],[Type (TX, RX, TRX, Oscillator)]]="Relay",A123,#N/A)</f>
        <v>#N/A</v>
      </c>
      <c r="H123" s="1">
        <f>IF(Table1[[#This Row],[Process (CMOS_Bulk, CMOS_SOI, CMOS_FinFET, SiGe)]]&lt;&gt;"",Table1[[#This Row],[TX '# of Polarization]]+Table1[[#This Row],[RX '# of Polarization]],#N/A)</f>
        <v>1</v>
      </c>
      <c r="I123" s="1" t="e">
        <f>IF(OR(Table1[[#This Row],[Type (TX, RX, TRX, Oscillator)]]="TX", Table1[[#This Row],[Type (TX, RX, TRX, Oscillator)]]="TX FE"),H123,#N/A)</f>
        <v>#N/A</v>
      </c>
      <c r="J123" s="1">
        <f>IF(OR(Table1[[#This Row],[Type (TX, RX, TRX, Oscillator)]]="RX", Table1[[#This Row],[Type (TX, RX, TRX, Oscillator)]]="RX FE"),H123,#N/A)</f>
        <v>1</v>
      </c>
      <c r="K123" s="1" t="e">
        <f>IF(OR(Table1[[#This Row],[Type (TX, RX, TRX, Oscillator)]]="TRX",Table1[[#This Row],[Type (TX, RX, TRX, Oscillator)]]="TRX FE"),H123,#N/A)</f>
        <v>#N/A</v>
      </c>
      <c r="L123" s="1" t="e">
        <f>IF(Table1[[#This Row],[Type (TX, RX, TRX, Oscillator)]]="Oscillator",H123,#N/A)</f>
        <v>#N/A</v>
      </c>
      <c r="M123" s="1" t="e">
        <f>IF(Table1[[#This Row],[Type (TX, RX, TRX, Oscillator)]]="Relay",H123,#N/A)</f>
        <v>#N/A</v>
      </c>
    </row>
    <row r="124" spans="1:13" x14ac:dyDescent="0.2">
      <c r="A124" s="1">
        <f>IF(OR(Table1[[#This Row],['# of TX Element per IC]]&lt;&gt;"",Table1[[#This Row],['# of RX Element per IC]]&lt;&gt;""),Table1[[#This Row],['# of TX Element per IC]]+Table1[[#This Row],['# of RX Element per IC]],#N/A)</f>
        <v>8</v>
      </c>
      <c r="B124" s="1" t="e">
        <f>IF(OR(Table1[[#This Row],[Type (TX, RX, TRX, Oscillator)]]="TX", Table1[[#This Row],[Type (TX, RX, TRX, Oscillator)]]="TX FE"),A124,#N/A)</f>
        <v>#N/A</v>
      </c>
      <c r="C124" s="1" t="e">
        <f>IF(OR(Table1[[#This Row],[Type (TX, RX, TRX, Oscillator)]]="RX", Table1[[#This Row],[Type (TX, RX, TRX, Oscillator)]]="RX FE"),A124,#N/A)</f>
        <v>#N/A</v>
      </c>
      <c r="D124" s="1">
        <f>IF(OR(Table1[[#This Row],[Type (TX, RX, TRX, Oscillator)]]="TRX",Table1[[#This Row],[Type (TX, RX, TRX, Oscillator)]]="TRX FE"),A124,#N/A)</f>
        <v>8</v>
      </c>
      <c r="E124" s="1" t="e">
        <f>IF(Table1[[#This Row],[Type (TX, RX, TRX, Oscillator)]]="Oscillator",A124,#N/A)</f>
        <v>#N/A</v>
      </c>
      <c r="F124" s="1" t="e">
        <f>IF(Table1[[#This Row],[Type (TX, RX, TRX, Oscillator)]]="Relay",A124,#N/A)</f>
        <v>#N/A</v>
      </c>
      <c r="H124" s="1">
        <f>IF(Table1[[#This Row],[Process (CMOS_Bulk, CMOS_SOI, CMOS_FinFET, SiGe)]]&lt;&gt;"",Table1[[#This Row],[TX '# of Polarization]]+Table1[[#This Row],[RX '# of Polarization]],#N/A)</f>
        <v>2</v>
      </c>
      <c r="I124" s="1" t="e">
        <f>IF(OR(Table1[[#This Row],[Type (TX, RX, TRX, Oscillator)]]="TX", Table1[[#This Row],[Type (TX, RX, TRX, Oscillator)]]="TX FE"),H124,#N/A)</f>
        <v>#N/A</v>
      </c>
      <c r="J124" s="1" t="e">
        <f>IF(OR(Table1[[#This Row],[Type (TX, RX, TRX, Oscillator)]]="RX", Table1[[#This Row],[Type (TX, RX, TRX, Oscillator)]]="RX FE"),H124,#N/A)</f>
        <v>#N/A</v>
      </c>
      <c r="K124" s="1">
        <f>IF(OR(Table1[[#This Row],[Type (TX, RX, TRX, Oscillator)]]="TRX",Table1[[#This Row],[Type (TX, RX, TRX, Oscillator)]]="TRX FE"),H124,#N/A)</f>
        <v>2</v>
      </c>
      <c r="L124" s="1" t="e">
        <f>IF(Table1[[#This Row],[Type (TX, RX, TRX, Oscillator)]]="Oscillator",H124,#N/A)</f>
        <v>#N/A</v>
      </c>
      <c r="M124" s="1" t="e">
        <f>IF(Table1[[#This Row],[Type (TX, RX, TRX, Oscillator)]]="Relay",H124,#N/A)</f>
        <v>#N/A</v>
      </c>
    </row>
    <row r="125" spans="1:13" x14ac:dyDescent="0.2">
      <c r="A125" s="1">
        <f>IF(OR(Table1[[#This Row],['# of TX Element per IC]]&lt;&gt;"",Table1[[#This Row],['# of RX Element per IC]]&lt;&gt;""),Table1[[#This Row],['# of TX Element per IC]]+Table1[[#This Row],['# of RX Element per IC]],#N/A)</f>
        <v>4</v>
      </c>
      <c r="B125" s="1" t="e">
        <f>IF(OR(Table1[[#This Row],[Type (TX, RX, TRX, Oscillator)]]="TX", Table1[[#This Row],[Type (TX, RX, TRX, Oscillator)]]="TX FE"),A125,#N/A)</f>
        <v>#N/A</v>
      </c>
      <c r="C125" s="1">
        <f>IF(OR(Table1[[#This Row],[Type (TX, RX, TRX, Oscillator)]]="RX", Table1[[#This Row],[Type (TX, RX, TRX, Oscillator)]]="RX FE"),A125,#N/A)</f>
        <v>4</v>
      </c>
      <c r="D125" s="1" t="e">
        <f>IF(OR(Table1[[#This Row],[Type (TX, RX, TRX, Oscillator)]]="TRX",Table1[[#This Row],[Type (TX, RX, TRX, Oscillator)]]="TRX FE"),A125,#N/A)</f>
        <v>#N/A</v>
      </c>
      <c r="E125" s="1" t="e">
        <f>IF(Table1[[#This Row],[Type (TX, RX, TRX, Oscillator)]]="Oscillator",A125,#N/A)</f>
        <v>#N/A</v>
      </c>
      <c r="F125" s="1" t="e">
        <f>IF(Table1[[#This Row],[Type (TX, RX, TRX, Oscillator)]]="Relay",A125,#N/A)</f>
        <v>#N/A</v>
      </c>
      <c r="H125" s="1">
        <f>IF(Table1[[#This Row],[Process (CMOS_Bulk, CMOS_SOI, CMOS_FinFET, SiGe)]]&lt;&gt;"",Table1[[#This Row],[TX '# of Polarization]]+Table1[[#This Row],[RX '# of Polarization]],#N/A)</f>
        <v>2</v>
      </c>
      <c r="I125" s="1" t="e">
        <f>IF(OR(Table1[[#This Row],[Type (TX, RX, TRX, Oscillator)]]="TX", Table1[[#This Row],[Type (TX, RX, TRX, Oscillator)]]="TX FE"),H125,#N/A)</f>
        <v>#N/A</v>
      </c>
      <c r="J125" s="1">
        <f>IF(OR(Table1[[#This Row],[Type (TX, RX, TRX, Oscillator)]]="RX", Table1[[#This Row],[Type (TX, RX, TRX, Oscillator)]]="RX FE"),H125,#N/A)</f>
        <v>2</v>
      </c>
      <c r="K125" s="1" t="e">
        <f>IF(OR(Table1[[#This Row],[Type (TX, RX, TRX, Oscillator)]]="TRX",Table1[[#This Row],[Type (TX, RX, TRX, Oscillator)]]="TRX FE"),H125,#N/A)</f>
        <v>#N/A</v>
      </c>
      <c r="L125" s="1" t="e">
        <f>IF(Table1[[#This Row],[Type (TX, RX, TRX, Oscillator)]]="Oscillator",H125,#N/A)</f>
        <v>#N/A</v>
      </c>
      <c r="M125" s="1" t="e">
        <f>IF(Table1[[#This Row],[Type (TX, RX, TRX, Oscillator)]]="Relay",H125,#N/A)</f>
        <v>#N/A</v>
      </c>
    </row>
    <row r="126" spans="1:13" x14ac:dyDescent="0.2">
      <c r="A126" s="1">
        <f>IF(OR(Table1[[#This Row],['# of TX Element per IC]]&lt;&gt;"",Table1[[#This Row],['# of RX Element per IC]]&lt;&gt;""),Table1[[#This Row],['# of TX Element per IC]]+Table1[[#This Row],['# of RX Element per IC]],#N/A)</f>
        <v>8</v>
      </c>
      <c r="B126" s="1">
        <f>IF(OR(Table1[[#This Row],[Type (TX, RX, TRX, Oscillator)]]="TX", Table1[[#This Row],[Type (TX, RX, TRX, Oscillator)]]="TX FE"),A126,#N/A)</f>
        <v>8</v>
      </c>
      <c r="C126" s="1" t="e">
        <f>IF(OR(Table1[[#This Row],[Type (TX, RX, TRX, Oscillator)]]="RX", Table1[[#This Row],[Type (TX, RX, TRX, Oscillator)]]="RX FE"),A126,#N/A)</f>
        <v>#N/A</v>
      </c>
      <c r="D126" s="1" t="e">
        <f>IF(OR(Table1[[#This Row],[Type (TX, RX, TRX, Oscillator)]]="TRX",Table1[[#This Row],[Type (TX, RX, TRX, Oscillator)]]="TRX FE"),A126,#N/A)</f>
        <v>#N/A</v>
      </c>
      <c r="E126" s="1" t="e">
        <f>IF(Table1[[#This Row],[Type (TX, RX, TRX, Oscillator)]]="Oscillator",A126,#N/A)</f>
        <v>#N/A</v>
      </c>
      <c r="F126" s="1" t="e">
        <f>IF(Table1[[#This Row],[Type (TX, RX, TRX, Oscillator)]]="Relay",A126,#N/A)</f>
        <v>#N/A</v>
      </c>
      <c r="H126" s="1">
        <f>IF(Table1[[#This Row],[Process (CMOS_Bulk, CMOS_SOI, CMOS_FinFET, SiGe)]]&lt;&gt;"",Table1[[#This Row],[TX '# of Polarization]]+Table1[[#This Row],[RX '# of Polarization]],#N/A)</f>
        <v>1</v>
      </c>
      <c r="I126" s="1">
        <f>IF(OR(Table1[[#This Row],[Type (TX, RX, TRX, Oscillator)]]="TX", Table1[[#This Row],[Type (TX, RX, TRX, Oscillator)]]="TX FE"),H126,#N/A)</f>
        <v>1</v>
      </c>
      <c r="J126" s="1" t="e">
        <f>IF(OR(Table1[[#This Row],[Type (TX, RX, TRX, Oscillator)]]="RX", Table1[[#This Row],[Type (TX, RX, TRX, Oscillator)]]="RX FE"),H126,#N/A)</f>
        <v>#N/A</v>
      </c>
      <c r="K126" s="1" t="e">
        <f>IF(OR(Table1[[#This Row],[Type (TX, RX, TRX, Oscillator)]]="TRX",Table1[[#This Row],[Type (TX, RX, TRX, Oscillator)]]="TRX FE"),H126,#N/A)</f>
        <v>#N/A</v>
      </c>
      <c r="L126" s="1" t="e">
        <f>IF(Table1[[#This Row],[Type (TX, RX, TRX, Oscillator)]]="Oscillator",H126,#N/A)</f>
        <v>#N/A</v>
      </c>
      <c r="M126" s="1" t="e">
        <f>IF(Table1[[#This Row],[Type (TX, RX, TRX, Oscillator)]]="Relay",H126,#N/A)</f>
        <v>#N/A</v>
      </c>
    </row>
    <row r="127" spans="1:13" x14ac:dyDescent="0.2">
      <c r="A127" s="1">
        <f>IF(OR(Table1[[#This Row],['# of TX Element per IC]]&lt;&gt;"",Table1[[#This Row],['# of RX Element per IC]]&lt;&gt;""),Table1[[#This Row],['# of TX Element per IC]]+Table1[[#This Row],['# of RX Element per IC]],#N/A)</f>
        <v>8</v>
      </c>
      <c r="B127" s="1">
        <f>IF(OR(Table1[[#This Row],[Type (TX, RX, TRX, Oscillator)]]="TX", Table1[[#This Row],[Type (TX, RX, TRX, Oscillator)]]="TX FE"),A127,#N/A)</f>
        <v>8</v>
      </c>
      <c r="C127" s="1" t="e">
        <f>IF(OR(Table1[[#This Row],[Type (TX, RX, TRX, Oscillator)]]="RX", Table1[[#This Row],[Type (TX, RX, TRX, Oscillator)]]="RX FE"),A127,#N/A)</f>
        <v>#N/A</v>
      </c>
      <c r="D127" s="1" t="e">
        <f>IF(OR(Table1[[#This Row],[Type (TX, RX, TRX, Oscillator)]]="TRX",Table1[[#This Row],[Type (TX, RX, TRX, Oscillator)]]="TRX FE"),A127,#N/A)</f>
        <v>#N/A</v>
      </c>
      <c r="E127" s="1" t="e">
        <f>IF(Table1[[#This Row],[Type (TX, RX, TRX, Oscillator)]]="Oscillator",A127,#N/A)</f>
        <v>#N/A</v>
      </c>
      <c r="F127" s="1" t="e">
        <f>IF(Table1[[#This Row],[Type (TX, RX, TRX, Oscillator)]]="Relay",A127,#N/A)</f>
        <v>#N/A</v>
      </c>
      <c r="H127" s="1">
        <f>IF(Table1[[#This Row],[Process (CMOS_Bulk, CMOS_SOI, CMOS_FinFET, SiGe)]]&lt;&gt;"",Table1[[#This Row],[TX '# of Polarization]]+Table1[[#This Row],[RX '# of Polarization]],#N/A)</f>
        <v>1</v>
      </c>
      <c r="I127" s="1">
        <f>IF(OR(Table1[[#This Row],[Type (TX, RX, TRX, Oscillator)]]="TX", Table1[[#This Row],[Type (TX, RX, TRX, Oscillator)]]="TX FE"),H127,#N/A)</f>
        <v>1</v>
      </c>
      <c r="J127" s="1" t="e">
        <f>IF(OR(Table1[[#This Row],[Type (TX, RX, TRX, Oscillator)]]="RX", Table1[[#This Row],[Type (TX, RX, TRX, Oscillator)]]="RX FE"),H127,#N/A)</f>
        <v>#N/A</v>
      </c>
      <c r="K127" s="1" t="e">
        <f>IF(OR(Table1[[#This Row],[Type (TX, RX, TRX, Oscillator)]]="TRX",Table1[[#This Row],[Type (TX, RX, TRX, Oscillator)]]="TRX FE"),H127,#N/A)</f>
        <v>#N/A</v>
      </c>
      <c r="L127" s="1" t="e">
        <f>IF(Table1[[#This Row],[Type (TX, RX, TRX, Oscillator)]]="Oscillator",H127,#N/A)</f>
        <v>#N/A</v>
      </c>
      <c r="M127" s="1" t="e">
        <f>IF(Table1[[#This Row],[Type (TX, RX, TRX, Oscillator)]]="Relay",H127,#N/A)</f>
        <v>#N/A</v>
      </c>
    </row>
    <row r="128" spans="1:13" x14ac:dyDescent="0.2">
      <c r="A128" s="1">
        <f>IF(OR(Table1[[#This Row],['# of TX Element per IC]]&lt;&gt;"",Table1[[#This Row],['# of RX Element per IC]]&lt;&gt;""),Table1[[#This Row],['# of TX Element per IC]]+Table1[[#This Row],['# of RX Element per IC]],#N/A)</f>
        <v>8</v>
      </c>
      <c r="B128" s="1" t="e">
        <f>IF(OR(Table1[[#This Row],[Type (TX, RX, TRX, Oscillator)]]="TX", Table1[[#This Row],[Type (TX, RX, TRX, Oscillator)]]="TX FE"),A128,#N/A)</f>
        <v>#N/A</v>
      </c>
      <c r="C128" s="1" t="e">
        <f>IF(OR(Table1[[#This Row],[Type (TX, RX, TRX, Oscillator)]]="RX", Table1[[#This Row],[Type (TX, RX, TRX, Oscillator)]]="RX FE"),A128,#N/A)</f>
        <v>#N/A</v>
      </c>
      <c r="D128" s="1">
        <f>IF(OR(Table1[[#This Row],[Type (TX, RX, TRX, Oscillator)]]="TRX",Table1[[#This Row],[Type (TX, RX, TRX, Oscillator)]]="TRX FE"),A128,#N/A)</f>
        <v>8</v>
      </c>
      <c r="E128" s="1" t="e">
        <f>IF(Table1[[#This Row],[Type (TX, RX, TRX, Oscillator)]]="Oscillator",A128,#N/A)</f>
        <v>#N/A</v>
      </c>
      <c r="F128" s="1" t="e">
        <f>IF(Table1[[#This Row],[Type (TX, RX, TRX, Oscillator)]]="Relay",A128,#N/A)</f>
        <v>#N/A</v>
      </c>
      <c r="H128" s="1">
        <f>IF(Table1[[#This Row],[Process (CMOS_Bulk, CMOS_SOI, CMOS_FinFET, SiGe)]]&lt;&gt;"",Table1[[#This Row],[TX '# of Polarization]]+Table1[[#This Row],[RX '# of Polarization]],#N/A)</f>
        <v>2</v>
      </c>
      <c r="I128" s="1" t="e">
        <f>IF(OR(Table1[[#This Row],[Type (TX, RX, TRX, Oscillator)]]="TX", Table1[[#This Row],[Type (TX, RX, TRX, Oscillator)]]="TX FE"),H128,#N/A)</f>
        <v>#N/A</v>
      </c>
      <c r="J128" s="1" t="e">
        <f>IF(OR(Table1[[#This Row],[Type (TX, RX, TRX, Oscillator)]]="RX", Table1[[#This Row],[Type (TX, RX, TRX, Oscillator)]]="RX FE"),H128,#N/A)</f>
        <v>#N/A</v>
      </c>
      <c r="K128" s="1">
        <f>IF(OR(Table1[[#This Row],[Type (TX, RX, TRX, Oscillator)]]="TRX",Table1[[#This Row],[Type (TX, RX, TRX, Oscillator)]]="TRX FE"),H128,#N/A)</f>
        <v>2</v>
      </c>
      <c r="L128" s="1" t="e">
        <f>IF(Table1[[#This Row],[Type (TX, RX, TRX, Oscillator)]]="Oscillator",H128,#N/A)</f>
        <v>#N/A</v>
      </c>
      <c r="M128" s="1" t="e">
        <f>IF(Table1[[#This Row],[Type (TX, RX, TRX, Oscillator)]]="Relay",H128,#N/A)</f>
        <v>#N/A</v>
      </c>
    </row>
    <row r="129" spans="1:13" x14ac:dyDescent="0.2">
      <c r="A129" s="1">
        <f>IF(OR(Table1[[#This Row],['# of TX Element per IC]]&lt;&gt;"",Table1[[#This Row],['# of RX Element per IC]]&lt;&gt;""),Table1[[#This Row],['# of TX Element per IC]]+Table1[[#This Row],['# of RX Element per IC]],#N/A)</f>
        <v>8</v>
      </c>
      <c r="B129" s="1" t="e">
        <f>IF(OR(Table1[[#This Row],[Type (TX, RX, TRX, Oscillator)]]="TX", Table1[[#This Row],[Type (TX, RX, TRX, Oscillator)]]="TX FE"),A129,#N/A)</f>
        <v>#N/A</v>
      </c>
      <c r="C129" s="1" t="e">
        <f>IF(OR(Table1[[#This Row],[Type (TX, RX, TRX, Oscillator)]]="RX", Table1[[#This Row],[Type (TX, RX, TRX, Oscillator)]]="RX FE"),A129,#N/A)</f>
        <v>#N/A</v>
      </c>
      <c r="D129" s="1">
        <f>IF(OR(Table1[[#This Row],[Type (TX, RX, TRX, Oscillator)]]="TRX",Table1[[#This Row],[Type (TX, RX, TRX, Oscillator)]]="TRX FE"),A129,#N/A)</f>
        <v>8</v>
      </c>
      <c r="E129" s="1" t="e">
        <f>IF(Table1[[#This Row],[Type (TX, RX, TRX, Oscillator)]]="Oscillator",A129,#N/A)</f>
        <v>#N/A</v>
      </c>
      <c r="F129" s="1" t="e">
        <f>IF(Table1[[#This Row],[Type (TX, RX, TRX, Oscillator)]]="Relay",A129,#N/A)</f>
        <v>#N/A</v>
      </c>
      <c r="H129" s="1">
        <f>IF(Table1[[#This Row],[Process (CMOS_Bulk, CMOS_SOI, CMOS_FinFET, SiGe)]]&lt;&gt;"",Table1[[#This Row],[TX '# of Polarization]]+Table1[[#This Row],[RX '# of Polarization]],#N/A)</f>
        <v>2</v>
      </c>
      <c r="I129" s="1" t="e">
        <f>IF(OR(Table1[[#This Row],[Type (TX, RX, TRX, Oscillator)]]="TX", Table1[[#This Row],[Type (TX, RX, TRX, Oscillator)]]="TX FE"),H129,#N/A)</f>
        <v>#N/A</v>
      </c>
      <c r="J129" s="1" t="e">
        <f>IF(OR(Table1[[#This Row],[Type (TX, RX, TRX, Oscillator)]]="RX", Table1[[#This Row],[Type (TX, RX, TRX, Oscillator)]]="RX FE"),H129,#N/A)</f>
        <v>#N/A</v>
      </c>
      <c r="K129" s="1">
        <f>IF(OR(Table1[[#This Row],[Type (TX, RX, TRX, Oscillator)]]="TRX",Table1[[#This Row],[Type (TX, RX, TRX, Oscillator)]]="TRX FE"),H129,#N/A)</f>
        <v>2</v>
      </c>
      <c r="L129" s="1" t="e">
        <f>IF(Table1[[#This Row],[Type (TX, RX, TRX, Oscillator)]]="Oscillator",H129,#N/A)</f>
        <v>#N/A</v>
      </c>
      <c r="M129" s="1" t="e">
        <f>IF(Table1[[#This Row],[Type (TX, RX, TRX, Oscillator)]]="Relay",H129,#N/A)</f>
        <v>#N/A</v>
      </c>
    </row>
    <row r="130" spans="1:13" x14ac:dyDescent="0.2">
      <c r="A130" s="1">
        <f>IF(OR(Table1[[#This Row],['# of TX Element per IC]]&lt;&gt;"",Table1[[#This Row],['# of RX Element per IC]]&lt;&gt;""),Table1[[#This Row],['# of TX Element per IC]]+Table1[[#This Row],['# of RX Element per IC]],#N/A)</f>
        <v>4</v>
      </c>
      <c r="B130" s="1">
        <f>IF(OR(Table1[[#This Row],[Type (TX, RX, TRX, Oscillator)]]="TX", Table1[[#This Row],[Type (TX, RX, TRX, Oscillator)]]="TX FE"),A130,#N/A)</f>
        <v>4</v>
      </c>
      <c r="C130" s="1" t="e">
        <f>IF(OR(Table1[[#This Row],[Type (TX, RX, TRX, Oscillator)]]="RX", Table1[[#This Row],[Type (TX, RX, TRX, Oscillator)]]="RX FE"),A130,#N/A)</f>
        <v>#N/A</v>
      </c>
      <c r="D130" s="1" t="e">
        <f>IF(OR(Table1[[#This Row],[Type (TX, RX, TRX, Oscillator)]]="TRX",Table1[[#This Row],[Type (TX, RX, TRX, Oscillator)]]="TRX FE"),A130,#N/A)</f>
        <v>#N/A</v>
      </c>
      <c r="E130" s="1" t="e">
        <f>IF(Table1[[#This Row],[Type (TX, RX, TRX, Oscillator)]]="Oscillator",A130,#N/A)</f>
        <v>#N/A</v>
      </c>
      <c r="F130" s="1" t="e">
        <f>IF(Table1[[#This Row],[Type (TX, RX, TRX, Oscillator)]]="Relay",A130,#N/A)</f>
        <v>#N/A</v>
      </c>
      <c r="H130" s="1">
        <f>IF(Table1[[#This Row],[Process (CMOS_Bulk, CMOS_SOI, CMOS_FinFET, SiGe)]]&lt;&gt;"",Table1[[#This Row],[TX '# of Polarization]]+Table1[[#This Row],[RX '# of Polarization]],#N/A)</f>
        <v>1</v>
      </c>
      <c r="I130" s="1">
        <f>IF(OR(Table1[[#This Row],[Type (TX, RX, TRX, Oscillator)]]="TX", Table1[[#This Row],[Type (TX, RX, TRX, Oscillator)]]="TX FE"),H130,#N/A)</f>
        <v>1</v>
      </c>
      <c r="J130" s="1" t="e">
        <f>IF(OR(Table1[[#This Row],[Type (TX, RX, TRX, Oscillator)]]="RX", Table1[[#This Row],[Type (TX, RX, TRX, Oscillator)]]="RX FE"),H130,#N/A)</f>
        <v>#N/A</v>
      </c>
      <c r="K130" s="1" t="e">
        <f>IF(OR(Table1[[#This Row],[Type (TX, RX, TRX, Oscillator)]]="TRX",Table1[[#This Row],[Type (TX, RX, TRX, Oscillator)]]="TRX FE"),H130,#N/A)</f>
        <v>#N/A</v>
      </c>
      <c r="L130" s="1" t="e">
        <f>IF(Table1[[#This Row],[Type (TX, RX, TRX, Oscillator)]]="Oscillator",H130,#N/A)</f>
        <v>#N/A</v>
      </c>
      <c r="M130" s="1" t="e">
        <f>IF(Table1[[#This Row],[Type (TX, RX, TRX, Oscillator)]]="Relay",H130,#N/A)</f>
        <v>#N/A</v>
      </c>
    </row>
    <row r="131" spans="1:13" x14ac:dyDescent="0.2">
      <c r="A131" s="1">
        <f>IF(OR(Table1[[#This Row],['# of TX Element per IC]]&lt;&gt;"",Table1[[#This Row],['# of RX Element per IC]]&lt;&gt;""),Table1[[#This Row],['# of TX Element per IC]]+Table1[[#This Row],['# of RX Element per IC]],#N/A)</f>
        <v>1</v>
      </c>
      <c r="B131" s="1">
        <f>IF(OR(Table1[[#This Row],[Type (TX, RX, TRX, Oscillator)]]="TX", Table1[[#This Row],[Type (TX, RX, TRX, Oscillator)]]="TX FE"),A131,#N/A)</f>
        <v>1</v>
      </c>
      <c r="C131" s="1" t="e">
        <f>IF(OR(Table1[[#This Row],[Type (TX, RX, TRX, Oscillator)]]="RX", Table1[[#This Row],[Type (TX, RX, TRX, Oscillator)]]="RX FE"),A131,#N/A)</f>
        <v>#N/A</v>
      </c>
      <c r="D131" s="1" t="e">
        <f>IF(OR(Table1[[#This Row],[Type (TX, RX, TRX, Oscillator)]]="TRX",Table1[[#This Row],[Type (TX, RX, TRX, Oscillator)]]="TRX FE"),A131,#N/A)</f>
        <v>#N/A</v>
      </c>
      <c r="E131" s="1" t="e">
        <f>IF(Table1[[#This Row],[Type (TX, RX, TRX, Oscillator)]]="Oscillator",A131,#N/A)</f>
        <v>#N/A</v>
      </c>
      <c r="F131" s="1" t="e">
        <f>IF(Table1[[#This Row],[Type (TX, RX, TRX, Oscillator)]]="Relay",A131,#N/A)</f>
        <v>#N/A</v>
      </c>
      <c r="H131" s="1">
        <f>IF(Table1[[#This Row],[Process (CMOS_Bulk, CMOS_SOI, CMOS_FinFET, SiGe)]]&lt;&gt;"",Table1[[#This Row],[TX '# of Polarization]]+Table1[[#This Row],[RX '# of Polarization]],#N/A)</f>
        <v>1</v>
      </c>
      <c r="I131" s="1">
        <f>IF(OR(Table1[[#This Row],[Type (TX, RX, TRX, Oscillator)]]="TX", Table1[[#This Row],[Type (TX, RX, TRX, Oscillator)]]="TX FE"),H131,#N/A)</f>
        <v>1</v>
      </c>
      <c r="J131" s="1" t="e">
        <f>IF(OR(Table1[[#This Row],[Type (TX, RX, TRX, Oscillator)]]="RX", Table1[[#This Row],[Type (TX, RX, TRX, Oscillator)]]="RX FE"),H131,#N/A)</f>
        <v>#N/A</v>
      </c>
      <c r="K131" s="1" t="e">
        <f>IF(OR(Table1[[#This Row],[Type (TX, RX, TRX, Oscillator)]]="TRX",Table1[[#This Row],[Type (TX, RX, TRX, Oscillator)]]="TRX FE"),H131,#N/A)</f>
        <v>#N/A</v>
      </c>
      <c r="L131" s="1" t="e">
        <f>IF(Table1[[#This Row],[Type (TX, RX, TRX, Oscillator)]]="Oscillator",H131,#N/A)</f>
        <v>#N/A</v>
      </c>
      <c r="M131" s="1" t="e">
        <f>IF(Table1[[#This Row],[Type (TX, RX, TRX, Oscillator)]]="Relay",H131,#N/A)</f>
        <v>#N/A</v>
      </c>
    </row>
    <row r="132" spans="1:13" x14ac:dyDescent="0.2">
      <c r="A132" s="1">
        <f>IF(OR(Table1[[#This Row],['# of TX Element per IC]]&lt;&gt;"",Table1[[#This Row],['# of RX Element per IC]]&lt;&gt;""),Table1[[#This Row],['# of TX Element per IC]]+Table1[[#This Row],['# of RX Element per IC]],#N/A)</f>
        <v>1</v>
      </c>
      <c r="B132" s="1">
        <f>IF(OR(Table1[[#This Row],[Type (TX, RX, TRX, Oscillator)]]="TX", Table1[[#This Row],[Type (TX, RX, TRX, Oscillator)]]="TX FE"),A132,#N/A)</f>
        <v>1</v>
      </c>
      <c r="C132" s="1" t="e">
        <f>IF(OR(Table1[[#This Row],[Type (TX, RX, TRX, Oscillator)]]="RX", Table1[[#This Row],[Type (TX, RX, TRX, Oscillator)]]="RX FE"),A132,#N/A)</f>
        <v>#N/A</v>
      </c>
      <c r="D132" s="1" t="e">
        <f>IF(OR(Table1[[#This Row],[Type (TX, RX, TRX, Oscillator)]]="TRX",Table1[[#This Row],[Type (TX, RX, TRX, Oscillator)]]="TRX FE"),A132,#N/A)</f>
        <v>#N/A</v>
      </c>
      <c r="E132" s="1" t="e">
        <f>IF(Table1[[#This Row],[Type (TX, RX, TRX, Oscillator)]]="Oscillator",A132,#N/A)</f>
        <v>#N/A</v>
      </c>
      <c r="F132" s="1" t="e">
        <f>IF(Table1[[#This Row],[Type (TX, RX, TRX, Oscillator)]]="Relay",A132,#N/A)</f>
        <v>#N/A</v>
      </c>
      <c r="H132" s="1">
        <f>IF(Table1[[#This Row],[Process (CMOS_Bulk, CMOS_SOI, CMOS_FinFET, SiGe)]]&lt;&gt;"",Table1[[#This Row],[TX '# of Polarization]]+Table1[[#This Row],[RX '# of Polarization]],#N/A)</f>
        <v>1</v>
      </c>
      <c r="I132" s="1">
        <f>IF(OR(Table1[[#This Row],[Type (TX, RX, TRX, Oscillator)]]="TX", Table1[[#This Row],[Type (TX, RX, TRX, Oscillator)]]="TX FE"),H132,#N/A)</f>
        <v>1</v>
      </c>
      <c r="J132" s="1" t="e">
        <f>IF(OR(Table1[[#This Row],[Type (TX, RX, TRX, Oscillator)]]="RX", Table1[[#This Row],[Type (TX, RX, TRX, Oscillator)]]="RX FE"),H132,#N/A)</f>
        <v>#N/A</v>
      </c>
      <c r="K132" s="1" t="e">
        <f>IF(OR(Table1[[#This Row],[Type (TX, RX, TRX, Oscillator)]]="TRX",Table1[[#This Row],[Type (TX, RX, TRX, Oscillator)]]="TRX FE"),H132,#N/A)</f>
        <v>#N/A</v>
      </c>
      <c r="L132" s="1" t="e">
        <f>IF(Table1[[#This Row],[Type (TX, RX, TRX, Oscillator)]]="Oscillator",H132,#N/A)</f>
        <v>#N/A</v>
      </c>
      <c r="M132" s="1" t="e">
        <f>IF(Table1[[#This Row],[Type (TX, RX, TRX, Oscillator)]]="Relay",H132,#N/A)</f>
        <v>#N/A</v>
      </c>
    </row>
    <row r="133" spans="1:13" x14ac:dyDescent="0.2">
      <c r="A133" s="1">
        <f>IF(OR(Table1[[#This Row],['# of TX Element per IC]]&lt;&gt;"",Table1[[#This Row],['# of RX Element per IC]]&lt;&gt;""),Table1[[#This Row],['# of TX Element per IC]]+Table1[[#This Row],['# of RX Element per IC]],#N/A)</f>
        <v>144</v>
      </c>
      <c r="B133" s="1" t="e">
        <f>IF(OR(Table1[[#This Row],[Type (TX, RX, TRX, Oscillator)]]="TX", Table1[[#This Row],[Type (TX, RX, TRX, Oscillator)]]="TX FE"),A133,#N/A)</f>
        <v>#N/A</v>
      </c>
      <c r="C133" s="1" t="e">
        <f>IF(OR(Table1[[#This Row],[Type (TX, RX, TRX, Oscillator)]]="RX", Table1[[#This Row],[Type (TX, RX, TRX, Oscillator)]]="RX FE"),A133,#N/A)</f>
        <v>#N/A</v>
      </c>
      <c r="D133" s="1" t="e">
        <f>IF(OR(Table1[[#This Row],[Type (TX, RX, TRX, Oscillator)]]="TRX",Table1[[#This Row],[Type (TX, RX, TRX, Oscillator)]]="TRX FE"),A133,#N/A)</f>
        <v>#N/A</v>
      </c>
      <c r="E133" s="1">
        <f>IF(Table1[[#This Row],[Type (TX, RX, TRX, Oscillator)]]="Oscillator",A133,#N/A)</f>
        <v>144</v>
      </c>
      <c r="F133" s="1" t="e">
        <f>IF(Table1[[#This Row],[Type (TX, RX, TRX, Oscillator)]]="Relay",A133,#N/A)</f>
        <v>#N/A</v>
      </c>
      <c r="H133" s="1">
        <f>IF(Table1[[#This Row],[Process (CMOS_Bulk, CMOS_SOI, CMOS_FinFET, SiGe)]]&lt;&gt;"",Table1[[#This Row],[TX '# of Polarization]]+Table1[[#This Row],[RX '# of Polarization]],#N/A)</f>
        <v>1</v>
      </c>
      <c r="I133" s="1" t="e">
        <f>IF(OR(Table1[[#This Row],[Type (TX, RX, TRX, Oscillator)]]="TX", Table1[[#This Row],[Type (TX, RX, TRX, Oscillator)]]="TX FE"),H133,#N/A)</f>
        <v>#N/A</v>
      </c>
      <c r="J133" s="1" t="e">
        <f>IF(OR(Table1[[#This Row],[Type (TX, RX, TRX, Oscillator)]]="RX", Table1[[#This Row],[Type (TX, RX, TRX, Oscillator)]]="RX FE"),H133,#N/A)</f>
        <v>#N/A</v>
      </c>
      <c r="K133" s="1" t="e">
        <f>IF(OR(Table1[[#This Row],[Type (TX, RX, TRX, Oscillator)]]="TRX",Table1[[#This Row],[Type (TX, RX, TRX, Oscillator)]]="TRX FE"),H133,#N/A)</f>
        <v>#N/A</v>
      </c>
      <c r="L133" s="1">
        <f>IF(Table1[[#This Row],[Type (TX, RX, TRX, Oscillator)]]="Oscillator",H133,#N/A)</f>
        <v>1</v>
      </c>
      <c r="M133" s="1" t="e">
        <f>IF(Table1[[#This Row],[Type (TX, RX, TRX, Oscillator)]]="Relay",H133,#N/A)</f>
        <v>#N/A</v>
      </c>
    </row>
    <row r="134" spans="1:13" x14ac:dyDescent="0.2">
      <c r="A134" s="1">
        <f>IF(OR(Table1[[#This Row],['# of TX Element per IC]]&lt;&gt;"",Table1[[#This Row],['# of RX Element per IC]]&lt;&gt;""),Table1[[#This Row],['# of TX Element per IC]]+Table1[[#This Row],['# of RX Element per IC]],#N/A)</f>
        <v>1</v>
      </c>
      <c r="B134" s="1" t="e">
        <f>IF(OR(Table1[[#This Row],[Type (TX, RX, TRX, Oscillator)]]="TX", Table1[[#This Row],[Type (TX, RX, TRX, Oscillator)]]="TX FE"),A134,#N/A)</f>
        <v>#N/A</v>
      </c>
      <c r="C134" s="1">
        <f>IF(OR(Table1[[#This Row],[Type (TX, RX, TRX, Oscillator)]]="RX", Table1[[#This Row],[Type (TX, RX, TRX, Oscillator)]]="RX FE"),A134,#N/A)</f>
        <v>1</v>
      </c>
      <c r="D134" s="1" t="e">
        <f>IF(OR(Table1[[#This Row],[Type (TX, RX, TRX, Oscillator)]]="TRX",Table1[[#This Row],[Type (TX, RX, TRX, Oscillator)]]="TRX FE"),A134,#N/A)</f>
        <v>#N/A</v>
      </c>
      <c r="E134" s="1" t="e">
        <f>IF(Table1[[#This Row],[Type (TX, RX, TRX, Oscillator)]]="Oscillator",A134,#N/A)</f>
        <v>#N/A</v>
      </c>
      <c r="F134" s="1" t="e">
        <f>IF(Table1[[#This Row],[Type (TX, RX, TRX, Oscillator)]]="Relay",A134,#N/A)</f>
        <v>#N/A</v>
      </c>
      <c r="H134" s="1">
        <f>IF(Table1[[#This Row],[Process (CMOS_Bulk, CMOS_SOI, CMOS_FinFET, SiGe)]]&lt;&gt;"",Table1[[#This Row],[TX '# of Polarization]]+Table1[[#This Row],[RX '# of Polarization]],#N/A)</f>
        <v>1</v>
      </c>
      <c r="I134" s="1" t="e">
        <f>IF(OR(Table1[[#This Row],[Type (TX, RX, TRX, Oscillator)]]="TX", Table1[[#This Row],[Type (TX, RX, TRX, Oscillator)]]="TX FE"),H134,#N/A)</f>
        <v>#N/A</v>
      </c>
      <c r="J134" s="1">
        <f>IF(OR(Table1[[#This Row],[Type (TX, RX, TRX, Oscillator)]]="RX", Table1[[#This Row],[Type (TX, RX, TRX, Oscillator)]]="RX FE"),H134,#N/A)</f>
        <v>1</v>
      </c>
      <c r="K134" s="1" t="e">
        <f>IF(OR(Table1[[#This Row],[Type (TX, RX, TRX, Oscillator)]]="TRX",Table1[[#This Row],[Type (TX, RX, TRX, Oscillator)]]="TRX FE"),H134,#N/A)</f>
        <v>#N/A</v>
      </c>
      <c r="L134" s="1" t="e">
        <f>IF(Table1[[#This Row],[Type (TX, RX, TRX, Oscillator)]]="Oscillator",H134,#N/A)</f>
        <v>#N/A</v>
      </c>
      <c r="M134" s="1" t="e">
        <f>IF(Table1[[#This Row],[Type (TX, RX, TRX, Oscillator)]]="Relay",H134,#N/A)</f>
        <v>#N/A</v>
      </c>
    </row>
    <row r="135" spans="1:13" x14ac:dyDescent="0.2">
      <c r="A135" s="1">
        <f>IF(OR(Table1[[#This Row],['# of TX Element per IC]]&lt;&gt;"",Table1[[#This Row],['# of RX Element per IC]]&lt;&gt;""),Table1[[#This Row],['# of TX Element per IC]]+Table1[[#This Row],['# of RX Element per IC]],#N/A)</f>
        <v>4</v>
      </c>
      <c r="B135" s="1" t="e">
        <f>IF(OR(Table1[[#This Row],[Type (TX, RX, TRX, Oscillator)]]="TX", Table1[[#This Row],[Type (TX, RX, TRX, Oscillator)]]="TX FE"),A135,#N/A)</f>
        <v>#N/A</v>
      </c>
      <c r="C135" s="1">
        <f>IF(OR(Table1[[#This Row],[Type (TX, RX, TRX, Oscillator)]]="RX", Table1[[#This Row],[Type (TX, RX, TRX, Oscillator)]]="RX FE"),A135,#N/A)</f>
        <v>4</v>
      </c>
      <c r="D135" s="1" t="e">
        <f>IF(OR(Table1[[#This Row],[Type (TX, RX, TRX, Oscillator)]]="TRX",Table1[[#This Row],[Type (TX, RX, TRX, Oscillator)]]="TRX FE"),A135,#N/A)</f>
        <v>#N/A</v>
      </c>
      <c r="E135" s="1" t="e">
        <f>IF(Table1[[#This Row],[Type (TX, RX, TRX, Oscillator)]]="Oscillator",A135,#N/A)</f>
        <v>#N/A</v>
      </c>
      <c r="F135" s="1" t="e">
        <f>IF(Table1[[#This Row],[Type (TX, RX, TRX, Oscillator)]]="Relay",A135,#N/A)</f>
        <v>#N/A</v>
      </c>
      <c r="H135" s="1">
        <f>IF(Table1[[#This Row],[Process (CMOS_Bulk, CMOS_SOI, CMOS_FinFET, SiGe)]]&lt;&gt;"",Table1[[#This Row],[TX '# of Polarization]]+Table1[[#This Row],[RX '# of Polarization]],#N/A)</f>
        <v>2</v>
      </c>
      <c r="I135" s="1" t="e">
        <f>IF(OR(Table1[[#This Row],[Type (TX, RX, TRX, Oscillator)]]="TX", Table1[[#This Row],[Type (TX, RX, TRX, Oscillator)]]="TX FE"),H135,#N/A)</f>
        <v>#N/A</v>
      </c>
      <c r="J135" s="1">
        <f>IF(OR(Table1[[#This Row],[Type (TX, RX, TRX, Oscillator)]]="RX", Table1[[#This Row],[Type (TX, RX, TRX, Oscillator)]]="RX FE"),H135,#N/A)</f>
        <v>2</v>
      </c>
      <c r="K135" s="1" t="e">
        <f>IF(OR(Table1[[#This Row],[Type (TX, RX, TRX, Oscillator)]]="TRX",Table1[[#This Row],[Type (TX, RX, TRX, Oscillator)]]="TRX FE"),H135,#N/A)</f>
        <v>#N/A</v>
      </c>
      <c r="L135" s="1" t="e">
        <f>IF(Table1[[#This Row],[Type (TX, RX, TRX, Oscillator)]]="Oscillator",H135,#N/A)</f>
        <v>#N/A</v>
      </c>
      <c r="M135" s="1" t="e">
        <f>IF(Table1[[#This Row],[Type (TX, RX, TRX, Oscillator)]]="Relay",H135,#N/A)</f>
        <v>#N/A</v>
      </c>
    </row>
    <row r="136" spans="1:13" x14ac:dyDescent="0.2">
      <c r="A136" s="1">
        <f>IF(OR(Table1[[#This Row],['# of TX Element per IC]]&lt;&gt;"",Table1[[#This Row],['# of RX Element per IC]]&lt;&gt;""),Table1[[#This Row],['# of TX Element per IC]]+Table1[[#This Row],['# of RX Element per IC]],#N/A)</f>
        <v>16</v>
      </c>
      <c r="B136" s="1" t="e">
        <f>IF(OR(Table1[[#This Row],[Type (TX, RX, TRX, Oscillator)]]="TX", Table1[[#This Row],[Type (TX, RX, TRX, Oscillator)]]="TX FE"),A136,#N/A)</f>
        <v>#N/A</v>
      </c>
      <c r="C136" s="1" t="e">
        <f>IF(OR(Table1[[#This Row],[Type (TX, RX, TRX, Oscillator)]]="RX", Table1[[#This Row],[Type (TX, RX, TRX, Oscillator)]]="RX FE"),A136,#N/A)</f>
        <v>#N/A</v>
      </c>
      <c r="D136" s="1" t="e">
        <f>IF(OR(Table1[[#This Row],[Type (TX, RX, TRX, Oscillator)]]="TRX",Table1[[#This Row],[Type (TX, RX, TRX, Oscillator)]]="TRX FE"),A136,#N/A)</f>
        <v>#N/A</v>
      </c>
      <c r="E136" s="1">
        <f>IF(Table1[[#This Row],[Type (TX, RX, TRX, Oscillator)]]="Oscillator",A136,#N/A)</f>
        <v>16</v>
      </c>
      <c r="F136" s="1" t="e">
        <f>IF(Table1[[#This Row],[Type (TX, RX, TRX, Oscillator)]]="Relay",A136,#N/A)</f>
        <v>#N/A</v>
      </c>
      <c r="H136" s="1">
        <f>IF(Table1[[#This Row],[Process (CMOS_Bulk, CMOS_SOI, CMOS_FinFET, SiGe)]]&lt;&gt;"",Table1[[#This Row],[TX '# of Polarization]]+Table1[[#This Row],[RX '# of Polarization]],#N/A)</f>
        <v>1</v>
      </c>
      <c r="I136" s="1" t="e">
        <f>IF(OR(Table1[[#This Row],[Type (TX, RX, TRX, Oscillator)]]="TX", Table1[[#This Row],[Type (TX, RX, TRX, Oscillator)]]="TX FE"),H136,#N/A)</f>
        <v>#N/A</v>
      </c>
      <c r="J136" s="1" t="e">
        <f>IF(OR(Table1[[#This Row],[Type (TX, RX, TRX, Oscillator)]]="RX", Table1[[#This Row],[Type (TX, RX, TRX, Oscillator)]]="RX FE"),H136,#N/A)</f>
        <v>#N/A</v>
      </c>
      <c r="K136" s="1" t="e">
        <f>IF(OR(Table1[[#This Row],[Type (TX, RX, TRX, Oscillator)]]="TRX",Table1[[#This Row],[Type (TX, RX, TRX, Oscillator)]]="TRX FE"),H136,#N/A)</f>
        <v>#N/A</v>
      </c>
      <c r="L136" s="1">
        <f>IF(Table1[[#This Row],[Type (TX, RX, TRX, Oscillator)]]="Oscillator",H136,#N/A)</f>
        <v>1</v>
      </c>
      <c r="M136" s="1" t="e">
        <f>IF(Table1[[#This Row],[Type (TX, RX, TRX, Oscillator)]]="Relay",H136,#N/A)</f>
        <v>#N/A</v>
      </c>
    </row>
    <row r="137" spans="1:13" x14ac:dyDescent="0.2">
      <c r="A137" s="1">
        <f>IF(OR(Table1[[#This Row],['# of TX Element per IC]]&lt;&gt;"",Table1[[#This Row],['# of RX Element per IC]]&lt;&gt;""),Table1[[#This Row],['# of TX Element per IC]]+Table1[[#This Row],['# of RX Element per IC]],#N/A)</f>
        <v>4</v>
      </c>
      <c r="B137" s="1">
        <f>IF(OR(Table1[[#This Row],[Type (TX, RX, TRX, Oscillator)]]="TX", Table1[[#This Row],[Type (TX, RX, TRX, Oscillator)]]="TX FE"),A137,#N/A)</f>
        <v>4</v>
      </c>
      <c r="C137" s="1" t="e">
        <f>IF(OR(Table1[[#This Row],[Type (TX, RX, TRX, Oscillator)]]="RX", Table1[[#This Row],[Type (TX, RX, TRX, Oscillator)]]="RX FE"),A137,#N/A)</f>
        <v>#N/A</v>
      </c>
      <c r="D137" s="1" t="e">
        <f>IF(OR(Table1[[#This Row],[Type (TX, RX, TRX, Oscillator)]]="TRX",Table1[[#This Row],[Type (TX, RX, TRX, Oscillator)]]="TRX FE"),A137,#N/A)</f>
        <v>#N/A</v>
      </c>
      <c r="E137" s="1" t="e">
        <f>IF(Table1[[#This Row],[Type (TX, RX, TRX, Oscillator)]]="Oscillator",A137,#N/A)</f>
        <v>#N/A</v>
      </c>
      <c r="F137" s="1" t="e">
        <f>IF(Table1[[#This Row],[Type (TX, RX, TRX, Oscillator)]]="Relay",A137,#N/A)</f>
        <v>#N/A</v>
      </c>
      <c r="H137" s="1">
        <f>IF(Table1[[#This Row],[Process (CMOS_Bulk, CMOS_SOI, CMOS_FinFET, SiGe)]]&lt;&gt;"",Table1[[#This Row],[TX '# of Polarization]]+Table1[[#This Row],[RX '# of Polarization]],#N/A)</f>
        <v>2</v>
      </c>
      <c r="I137" s="1">
        <f>IF(OR(Table1[[#This Row],[Type (TX, RX, TRX, Oscillator)]]="TX", Table1[[#This Row],[Type (TX, RX, TRX, Oscillator)]]="TX FE"),H137,#N/A)</f>
        <v>2</v>
      </c>
      <c r="J137" s="1" t="e">
        <f>IF(OR(Table1[[#This Row],[Type (TX, RX, TRX, Oscillator)]]="RX", Table1[[#This Row],[Type (TX, RX, TRX, Oscillator)]]="RX FE"),H137,#N/A)</f>
        <v>#N/A</v>
      </c>
      <c r="K137" s="1" t="e">
        <f>IF(OR(Table1[[#This Row],[Type (TX, RX, TRX, Oscillator)]]="TRX",Table1[[#This Row],[Type (TX, RX, TRX, Oscillator)]]="TRX FE"),H137,#N/A)</f>
        <v>#N/A</v>
      </c>
      <c r="L137" s="1" t="e">
        <f>IF(Table1[[#This Row],[Type (TX, RX, TRX, Oscillator)]]="Oscillator",H137,#N/A)</f>
        <v>#N/A</v>
      </c>
      <c r="M137" s="1" t="e">
        <f>IF(Table1[[#This Row],[Type (TX, RX, TRX, Oscillator)]]="Relay",H137,#N/A)</f>
        <v>#N/A</v>
      </c>
    </row>
    <row r="138" spans="1:13" x14ac:dyDescent="0.2">
      <c r="A138" s="1">
        <f>IF(OR(Table1[[#This Row],['# of TX Element per IC]]&lt;&gt;"",Table1[[#This Row],['# of RX Element per IC]]&lt;&gt;""),Table1[[#This Row],['# of TX Element per IC]]+Table1[[#This Row],['# of RX Element per IC]],#N/A)</f>
        <v>1</v>
      </c>
      <c r="B138" s="1">
        <f>IF(OR(Table1[[#This Row],[Type (TX, RX, TRX, Oscillator)]]="TX", Table1[[#This Row],[Type (TX, RX, TRX, Oscillator)]]="TX FE"),A138,#N/A)</f>
        <v>1</v>
      </c>
      <c r="C138" s="1" t="e">
        <f>IF(OR(Table1[[#This Row],[Type (TX, RX, TRX, Oscillator)]]="RX", Table1[[#This Row],[Type (TX, RX, TRX, Oscillator)]]="RX FE"),A138,#N/A)</f>
        <v>#N/A</v>
      </c>
      <c r="D138" s="1" t="e">
        <f>IF(OR(Table1[[#This Row],[Type (TX, RX, TRX, Oscillator)]]="TRX",Table1[[#This Row],[Type (TX, RX, TRX, Oscillator)]]="TRX FE"),A138,#N/A)</f>
        <v>#N/A</v>
      </c>
      <c r="E138" s="1" t="e">
        <f>IF(Table1[[#This Row],[Type (TX, RX, TRX, Oscillator)]]="Oscillator",A138,#N/A)</f>
        <v>#N/A</v>
      </c>
      <c r="F138" s="1" t="e">
        <f>IF(Table1[[#This Row],[Type (TX, RX, TRX, Oscillator)]]="Relay",A138,#N/A)</f>
        <v>#N/A</v>
      </c>
      <c r="H138" s="1">
        <f>IF(Table1[[#This Row],[Process (CMOS_Bulk, CMOS_SOI, CMOS_FinFET, SiGe)]]&lt;&gt;"",Table1[[#This Row],[TX '# of Polarization]]+Table1[[#This Row],[RX '# of Polarization]],#N/A)</f>
        <v>1</v>
      </c>
      <c r="I138" s="1">
        <f>IF(OR(Table1[[#This Row],[Type (TX, RX, TRX, Oscillator)]]="TX", Table1[[#This Row],[Type (TX, RX, TRX, Oscillator)]]="TX FE"),H138,#N/A)</f>
        <v>1</v>
      </c>
      <c r="J138" s="1" t="e">
        <f>IF(OR(Table1[[#This Row],[Type (TX, RX, TRX, Oscillator)]]="RX", Table1[[#This Row],[Type (TX, RX, TRX, Oscillator)]]="RX FE"),H138,#N/A)</f>
        <v>#N/A</v>
      </c>
      <c r="K138" s="1" t="e">
        <f>IF(OR(Table1[[#This Row],[Type (TX, RX, TRX, Oscillator)]]="TRX",Table1[[#This Row],[Type (TX, RX, TRX, Oscillator)]]="TRX FE"),H138,#N/A)</f>
        <v>#N/A</v>
      </c>
      <c r="L138" s="1" t="e">
        <f>IF(Table1[[#This Row],[Type (TX, RX, TRX, Oscillator)]]="Oscillator",H138,#N/A)</f>
        <v>#N/A</v>
      </c>
      <c r="M138" s="1" t="e">
        <f>IF(Table1[[#This Row],[Type (TX, RX, TRX, Oscillator)]]="Relay",H138,#N/A)</f>
        <v>#N/A</v>
      </c>
    </row>
    <row r="139" spans="1:13" x14ac:dyDescent="0.2">
      <c r="A139" s="1">
        <f>IF(OR(Table1[[#This Row],['# of TX Element per IC]]&lt;&gt;"",Table1[[#This Row],['# of RX Element per IC]]&lt;&gt;""),Table1[[#This Row],['# of TX Element per IC]]+Table1[[#This Row],['# of RX Element per IC]],#N/A)</f>
        <v>4</v>
      </c>
      <c r="B139" s="1" t="e">
        <f>IF(OR(Table1[[#This Row],[Type (TX, RX, TRX, Oscillator)]]="TX", Table1[[#This Row],[Type (TX, RX, TRX, Oscillator)]]="TX FE"),A139,#N/A)</f>
        <v>#N/A</v>
      </c>
      <c r="C139" s="1">
        <f>IF(OR(Table1[[#This Row],[Type (TX, RX, TRX, Oscillator)]]="RX", Table1[[#This Row],[Type (TX, RX, TRX, Oscillator)]]="RX FE"),A139,#N/A)</f>
        <v>4</v>
      </c>
      <c r="D139" s="1" t="e">
        <f>IF(OR(Table1[[#This Row],[Type (TX, RX, TRX, Oscillator)]]="TRX",Table1[[#This Row],[Type (TX, RX, TRX, Oscillator)]]="TRX FE"),A139,#N/A)</f>
        <v>#N/A</v>
      </c>
      <c r="E139" s="1" t="e">
        <f>IF(Table1[[#This Row],[Type (TX, RX, TRX, Oscillator)]]="Oscillator",A139,#N/A)</f>
        <v>#N/A</v>
      </c>
      <c r="F139" s="1" t="e">
        <f>IF(Table1[[#This Row],[Type (TX, RX, TRX, Oscillator)]]="Relay",A139,#N/A)</f>
        <v>#N/A</v>
      </c>
      <c r="H139" s="1">
        <f>IF(Table1[[#This Row],[Process (CMOS_Bulk, CMOS_SOI, CMOS_FinFET, SiGe)]]&lt;&gt;"",Table1[[#This Row],[TX '# of Polarization]]+Table1[[#This Row],[RX '# of Polarization]],#N/A)</f>
        <v>1</v>
      </c>
      <c r="I139" s="1" t="e">
        <f>IF(OR(Table1[[#This Row],[Type (TX, RX, TRX, Oscillator)]]="TX", Table1[[#This Row],[Type (TX, RX, TRX, Oscillator)]]="TX FE"),H139,#N/A)</f>
        <v>#N/A</v>
      </c>
      <c r="J139" s="1">
        <f>IF(OR(Table1[[#This Row],[Type (TX, RX, TRX, Oscillator)]]="RX", Table1[[#This Row],[Type (TX, RX, TRX, Oscillator)]]="RX FE"),H139,#N/A)</f>
        <v>1</v>
      </c>
      <c r="K139" s="1" t="e">
        <f>IF(OR(Table1[[#This Row],[Type (TX, RX, TRX, Oscillator)]]="TRX",Table1[[#This Row],[Type (TX, RX, TRX, Oscillator)]]="TRX FE"),H139,#N/A)</f>
        <v>#N/A</v>
      </c>
      <c r="L139" s="1" t="e">
        <f>IF(Table1[[#This Row],[Type (TX, RX, TRX, Oscillator)]]="Oscillator",H139,#N/A)</f>
        <v>#N/A</v>
      </c>
      <c r="M139" s="1" t="e">
        <f>IF(Table1[[#This Row],[Type (TX, RX, TRX, Oscillator)]]="Relay",H139,#N/A)</f>
        <v>#N/A</v>
      </c>
    </row>
    <row r="140" spans="1:13" x14ac:dyDescent="0.2">
      <c r="A140" s="1">
        <f>IF(OR(Table1[[#This Row],['# of TX Element per IC]]&lt;&gt;"",Table1[[#This Row],['# of RX Element per IC]]&lt;&gt;""),Table1[[#This Row],['# of TX Element per IC]]+Table1[[#This Row],['# of RX Element per IC]],#N/A)</f>
        <v>8</v>
      </c>
      <c r="B140" s="1" t="e">
        <f>IF(OR(Table1[[#This Row],[Type (TX, RX, TRX, Oscillator)]]="TX", Table1[[#This Row],[Type (TX, RX, TRX, Oscillator)]]="TX FE"),A140,#N/A)</f>
        <v>#N/A</v>
      </c>
      <c r="C140" s="1" t="e">
        <f>IF(OR(Table1[[#This Row],[Type (TX, RX, TRX, Oscillator)]]="RX", Table1[[#This Row],[Type (TX, RX, TRX, Oscillator)]]="RX FE"),A140,#N/A)</f>
        <v>#N/A</v>
      </c>
      <c r="D140" s="1" t="e">
        <f>IF(OR(Table1[[#This Row],[Type (TX, RX, TRX, Oscillator)]]="TRX",Table1[[#This Row],[Type (TX, RX, TRX, Oscillator)]]="TRX FE"),A140,#N/A)</f>
        <v>#N/A</v>
      </c>
      <c r="E140" s="1" t="e">
        <f>IF(Table1[[#This Row],[Type (TX, RX, TRX, Oscillator)]]="Oscillator",A140,#N/A)</f>
        <v>#N/A</v>
      </c>
      <c r="F140" s="1">
        <f>IF(Table1[[#This Row],[Type (TX, RX, TRX, Oscillator)]]="Relay",A140,#N/A)</f>
        <v>8</v>
      </c>
      <c r="H140" s="1">
        <f>IF(Table1[[#This Row],[Process (CMOS_Bulk, CMOS_SOI, CMOS_FinFET, SiGe)]]&lt;&gt;"",Table1[[#This Row],[TX '# of Polarization]]+Table1[[#This Row],[RX '# of Polarization]],#N/A)</f>
        <v>2</v>
      </c>
      <c r="I140" s="1" t="e">
        <f>IF(OR(Table1[[#This Row],[Type (TX, RX, TRX, Oscillator)]]="TX", Table1[[#This Row],[Type (TX, RX, TRX, Oscillator)]]="TX FE"),H140,#N/A)</f>
        <v>#N/A</v>
      </c>
      <c r="J140" s="1" t="e">
        <f>IF(OR(Table1[[#This Row],[Type (TX, RX, TRX, Oscillator)]]="RX", Table1[[#This Row],[Type (TX, RX, TRX, Oscillator)]]="RX FE"),H140,#N/A)</f>
        <v>#N/A</v>
      </c>
      <c r="K140" s="1" t="e">
        <f>IF(OR(Table1[[#This Row],[Type (TX, RX, TRX, Oscillator)]]="TRX",Table1[[#This Row],[Type (TX, RX, TRX, Oscillator)]]="TRX FE"),H140,#N/A)</f>
        <v>#N/A</v>
      </c>
      <c r="L140" s="1" t="e">
        <f>IF(Table1[[#This Row],[Type (TX, RX, TRX, Oscillator)]]="Oscillator",H140,#N/A)</f>
        <v>#N/A</v>
      </c>
      <c r="M140" s="1">
        <f>IF(Table1[[#This Row],[Type (TX, RX, TRX, Oscillator)]]="Relay",H140,#N/A)</f>
        <v>2</v>
      </c>
    </row>
    <row r="141" spans="1:13" x14ac:dyDescent="0.2">
      <c r="A141" s="1">
        <f>IF(OR(Table1[[#This Row],['# of TX Element per IC]]&lt;&gt;"",Table1[[#This Row],['# of RX Element per IC]]&lt;&gt;""),Table1[[#This Row],['# of TX Element per IC]]+Table1[[#This Row],['# of RX Element per IC]],#N/A)</f>
        <v>8</v>
      </c>
      <c r="B141" s="1" t="e">
        <f>IF(OR(Table1[[#This Row],[Type (TX, RX, TRX, Oscillator)]]="TX", Table1[[#This Row],[Type (TX, RX, TRX, Oscillator)]]="TX FE"),A141,#N/A)</f>
        <v>#N/A</v>
      </c>
      <c r="C141" s="1" t="e">
        <f>IF(OR(Table1[[#This Row],[Type (TX, RX, TRX, Oscillator)]]="RX", Table1[[#This Row],[Type (TX, RX, TRX, Oscillator)]]="RX FE"),A141,#N/A)</f>
        <v>#N/A</v>
      </c>
      <c r="D141" s="1">
        <f>IF(OR(Table1[[#This Row],[Type (TX, RX, TRX, Oscillator)]]="TRX",Table1[[#This Row],[Type (TX, RX, TRX, Oscillator)]]="TRX FE"),A141,#N/A)</f>
        <v>8</v>
      </c>
      <c r="E141" s="1" t="e">
        <f>IF(Table1[[#This Row],[Type (TX, RX, TRX, Oscillator)]]="Oscillator",A141,#N/A)</f>
        <v>#N/A</v>
      </c>
      <c r="F141" s="1" t="e">
        <f>IF(Table1[[#This Row],[Type (TX, RX, TRX, Oscillator)]]="Relay",A141,#N/A)</f>
        <v>#N/A</v>
      </c>
      <c r="H141" s="1">
        <f>IF(Table1[[#This Row],[Process (CMOS_Bulk, CMOS_SOI, CMOS_FinFET, SiGe)]]&lt;&gt;"",Table1[[#This Row],[TX '# of Polarization]]+Table1[[#This Row],[RX '# of Polarization]],#N/A)</f>
        <v>2</v>
      </c>
      <c r="I141" s="1" t="e">
        <f>IF(OR(Table1[[#This Row],[Type (TX, RX, TRX, Oscillator)]]="TX", Table1[[#This Row],[Type (TX, RX, TRX, Oscillator)]]="TX FE"),H141,#N/A)</f>
        <v>#N/A</v>
      </c>
      <c r="J141" s="1" t="e">
        <f>IF(OR(Table1[[#This Row],[Type (TX, RX, TRX, Oscillator)]]="RX", Table1[[#This Row],[Type (TX, RX, TRX, Oscillator)]]="RX FE"),H141,#N/A)</f>
        <v>#N/A</v>
      </c>
      <c r="K141" s="1">
        <f>IF(OR(Table1[[#This Row],[Type (TX, RX, TRX, Oscillator)]]="TRX",Table1[[#This Row],[Type (TX, RX, TRX, Oscillator)]]="TRX FE"),H141,#N/A)</f>
        <v>2</v>
      </c>
      <c r="L141" s="1" t="e">
        <f>IF(Table1[[#This Row],[Type (TX, RX, TRX, Oscillator)]]="Oscillator",H141,#N/A)</f>
        <v>#N/A</v>
      </c>
      <c r="M141" s="1" t="e">
        <f>IF(Table1[[#This Row],[Type (TX, RX, TRX, Oscillator)]]="Relay",H141,#N/A)</f>
        <v>#N/A</v>
      </c>
    </row>
    <row r="142" spans="1:13" x14ac:dyDescent="0.2">
      <c r="A142" s="1">
        <f>IF(OR(Table1[[#This Row],['# of TX Element per IC]]&lt;&gt;"",Table1[[#This Row],['# of RX Element per IC]]&lt;&gt;""),Table1[[#This Row],['# of TX Element per IC]]+Table1[[#This Row],['# of RX Element per IC]],#N/A)</f>
        <v>12</v>
      </c>
      <c r="B142" s="1" t="e">
        <f>IF(OR(Table1[[#This Row],[Type (TX, RX, TRX, Oscillator)]]="TX", Table1[[#This Row],[Type (TX, RX, TRX, Oscillator)]]="TX FE"),A142,#N/A)</f>
        <v>#N/A</v>
      </c>
      <c r="C142" s="1" t="e">
        <f>IF(OR(Table1[[#This Row],[Type (TX, RX, TRX, Oscillator)]]="RX", Table1[[#This Row],[Type (TX, RX, TRX, Oscillator)]]="RX FE"),A142,#N/A)</f>
        <v>#N/A</v>
      </c>
      <c r="D142" s="1">
        <f>IF(OR(Table1[[#This Row],[Type (TX, RX, TRX, Oscillator)]]="TRX",Table1[[#This Row],[Type (TX, RX, TRX, Oscillator)]]="TRX FE"),A142,#N/A)</f>
        <v>12</v>
      </c>
      <c r="E142" s="1" t="e">
        <f>IF(Table1[[#This Row],[Type (TX, RX, TRX, Oscillator)]]="Oscillator",A142,#N/A)</f>
        <v>#N/A</v>
      </c>
      <c r="F142" s="1" t="e">
        <f>IF(Table1[[#This Row],[Type (TX, RX, TRX, Oscillator)]]="Relay",A142,#N/A)</f>
        <v>#N/A</v>
      </c>
      <c r="H142" s="1">
        <f>IF(Table1[[#This Row],[Process (CMOS_Bulk, CMOS_SOI, CMOS_FinFET, SiGe)]]&lt;&gt;"",Table1[[#This Row],[TX '# of Polarization]]+Table1[[#This Row],[RX '# of Polarization]],#N/A)</f>
        <v>2</v>
      </c>
      <c r="I142" s="1" t="e">
        <f>IF(OR(Table1[[#This Row],[Type (TX, RX, TRX, Oscillator)]]="TX", Table1[[#This Row],[Type (TX, RX, TRX, Oscillator)]]="TX FE"),H142,#N/A)</f>
        <v>#N/A</v>
      </c>
      <c r="J142" s="1" t="e">
        <f>IF(OR(Table1[[#This Row],[Type (TX, RX, TRX, Oscillator)]]="RX", Table1[[#This Row],[Type (TX, RX, TRX, Oscillator)]]="RX FE"),H142,#N/A)</f>
        <v>#N/A</v>
      </c>
      <c r="K142" s="1">
        <f>IF(OR(Table1[[#This Row],[Type (TX, RX, TRX, Oscillator)]]="TRX",Table1[[#This Row],[Type (TX, RX, TRX, Oscillator)]]="TRX FE"),H142,#N/A)</f>
        <v>2</v>
      </c>
      <c r="L142" s="1" t="e">
        <f>IF(Table1[[#This Row],[Type (TX, RX, TRX, Oscillator)]]="Oscillator",H142,#N/A)</f>
        <v>#N/A</v>
      </c>
      <c r="M142" s="1" t="e">
        <f>IF(Table1[[#This Row],[Type (TX, RX, TRX, Oscillator)]]="Relay",H142,#N/A)</f>
        <v>#N/A</v>
      </c>
    </row>
    <row r="143" spans="1:13" x14ac:dyDescent="0.2">
      <c r="A143" s="1">
        <f>IF(OR(Table1[[#This Row],['# of TX Element per IC]]&lt;&gt;"",Table1[[#This Row],['# of RX Element per IC]]&lt;&gt;""),Table1[[#This Row],['# of TX Element per IC]]+Table1[[#This Row],['# of RX Element per IC]],#N/A)</f>
        <v>8</v>
      </c>
      <c r="B143" s="1" t="e">
        <f>IF(OR(Table1[[#This Row],[Type (TX, RX, TRX, Oscillator)]]="TX", Table1[[#This Row],[Type (TX, RX, TRX, Oscillator)]]="TX FE"),A143,#N/A)</f>
        <v>#N/A</v>
      </c>
      <c r="C143" s="1" t="e">
        <f>IF(OR(Table1[[#This Row],[Type (TX, RX, TRX, Oscillator)]]="RX", Table1[[#This Row],[Type (TX, RX, TRX, Oscillator)]]="RX FE"),A143,#N/A)</f>
        <v>#N/A</v>
      </c>
      <c r="D143" s="1">
        <f>IF(OR(Table1[[#This Row],[Type (TX, RX, TRX, Oscillator)]]="TRX",Table1[[#This Row],[Type (TX, RX, TRX, Oscillator)]]="TRX FE"),A143,#N/A)</f>
        <v>8</v>
      </c>
      <c r="E143" s="1" t="e">
        <f>IF(Table1[[#This Row],[Type (TX, RX, TRX, Oscillator)]]="Oscillator",A143,#N/A)</f>
        <v>#N/A</v>
      </c>
      <c r="F143" s="1" t="e">
        <f>IF(Table1[[#This Row],[Type (TX, RX, TRX, Oscillator)]]="Relay",A143,#N/A)</f>
        <v>#N/A</v>
      </c>
      <c r="H143" s="1">
        <f>IF(Table1[[#This Row],[Process (CMOS_Bulk, CMOS_SOI, CMOS_FinFET, SiGe)]]&lt;&gt;"",Table1[[#This Row],[TX '# of Polarization]]+Table1[[#This Row],[RX '# of Polarization]],#N/A)</f>
        <v>2</v>
      </c>
      <c r="I143" s="1" t="e">
        <f>IF(OR(Table1[[#This Row],[Type (TX, RX, TRX, Oscillator)]]="TX", Table1[[#This Row],[Type (TX, RX, TRX, Oscillator)]]="TX FE"),H143,#N/A)</f>
        <v>#N/A</v>
      </c>
      <c r="J143" s="1" t="e">
        <f>IF(OR(Table1[[#This Row],[Type (TX, RX, TRX, Oscillator)]]="RX", Table1[[#This Row],[Type (TX, RX, TRX, Oscillator)]]="RX FE"),H143,#N/A)</f>
        <v>#N/A</v>
      </c>
      <c r="K143" s="1">
        <f>IF(OR(Table1[[#This Row],[Type (TX, RX, TRX, Oscillator)]]="TRX",Table1[[#This Row],[Type (TX, RX, TRX, Oscillator)]]="TRX FE"),H143,#N/A)</f>
        <v>2</v>
      </c>
      <c r="L143" s="1" t="e">
        <f>IF(Table1[[#This Row],[Type (TX, RX, TRX, Oscillator)]]="Oscillator",H143,#N/A)</f>
        <v>#N/A</v>
      </c>
      <c r="M143" s="1" t="e">
        <f>IF(Table1[[#This Row],[Type (TX, RX, TRX, Oscillator)]]="Relay",H143,#N/A)</f>
        <v>#N/A</v>
      </c>
    </row>
    <row r="144" spans="1:13" x14ac:dyDescent="0.2">
      <c r="A144" s="1">
        <f>IF(OR(Table1[[#This Row],['# of TX Element per IC]]&lt;&gt;"",Table1[[#This Row],['# of RX Element per IC]]&lt;&gt;""),Table1[[#This Row],['# of TX Element per IC]]+Table1[[#This Row],['# of RX Element per IC]],#N/A)</f>
        <v>4</v>
      </c>
      <c r="B144" s="1" t="e">
        <f>IF(OR(Table1[[#This Row],[Type (TX, RX, TRX, Oscillator)]]="TX", Table1[[#This Row],[Type (TX, RX, TRX, Oscillator)]]="TX FE"),A144,#N/A)</f>
        <v>#N/A</v>
      </c>
      <c r="C144" s="1" t="e">
        <f>IF(OR(Table1[[#This Row],[Type (TX, RX, TRX, Oscillator)]]="RX", Table1[[#This Row],[Type (TX, RX, TRX, Oscillator)]]="RX FE"),A144,#N/A)</f>
        <v>#N/A</v>
      </c>
      <c r="D144" s="1" t="e">
        <f>IF(OR(Table1[[#This Row],[Type (TX, RX, TRX, Oscillator)]]="TRX",Table1[[#This Row],[Type (TX, RX, TRX, Oscillator)]]="TRX FE"),A144,#N/A)</f>
        <v>#N/A</v>
      </c>
      <c r="E144" s="1" t="e">
        <f>IF(Table1[[#This Row],[Type (TX, RX, TRX, Oscillator)]]="Oscillator",A144,#N/A)</f>
        <v>#N/A</v>
      </c>
      <c r="F144" s="1">
        <f>IF(Table1[[#This Row],[Type (TX, RX, TRX, Oscillator)]]="Relay",A144,#N/A)</f>
        <v>4</v>
      </c>
      <c r="H144" s="1">
        <f>IF(Table1[[#This Row],[Process (CMOS_Bulk, CMOS_SOI, CMOS_FinFET, SiGe)]]&lt;&gt;"",Table1[[#This Row],[TX '# of Polarization]]+Table1[[#This Row],[RX '# of Polarization]],#N/A)</f>
        <v>2</v>
      </c>
      <c r="I144" s="1" t="e">
        <f>IF(OR(Table1[[#This Row],[Type (TX, RX, TRX, Oscillator)]]="TX", Table1[[#This Row],[Type (TX, RX, TRX, Oscillator)]]="TX FE"),H144,#N/A)</f>
        <v>#N/A</v>
      </c>
      <c r="J144" s="1" t="e">
        <f>IF(OR(Table1[[#This Row],[Type (TX, RX, TRX, Oscillator)]]="RX", Table1[[#This Row],[Type (TX, RX, TRX, Oscillator)]]="RX FE"),H144,#N/A)</f>
        <v>#N/A</v>
      </c>
      <c r="K144" s="1" t="e">
        <f>IF(OR(Table1[[#This Row],[Type (TX, RX, TRX, Oscillator)]]="TRX",Table1[[#This Row],[Type (TX, RX, TRX, Oscillator)]]="TRX FE"),H144,#N/A)</f>
        <v>#N/A</v>
      </c>
      <c r="L144" s="1" t="e">
        <f>IF(Table1[[#This Row],[Type (TX, RX, TRX, Oscillator)]]="Oscillator",H144,#N/A)</f>
        <v>#N/A</v>
      </c>
      <c r="M144" s="1">
        <f>IF(Table1[[#This Row],[Type (TX, RX, TRX, Oscillator)]]="Relay",H144,#N/A)</f>
        <v>2</v>
      </c>
    </row>
    <row r="145" spans="1:13" x14ac:dyDescent="0.2">
      <c r="A145" s="1">
        <f>IF(OR(Table1[[#This Row],['# of TX Element per IC]]&lt;&gt;"",Table1[[#This Row],['# of RX Element per IC]]&lt;&gt;""),Table1[[#This Row],['# of TX Element per IC]]+Table1[[#This Row],['# of RX Element per IC]],#N/A)</f>
        <v>4</v>
      </c>
      <c r="B145" s="1" t="e">
        <f>IF(OR(Table1[[#This Row],[Type (TX, RX, TRX, Oscillator)]]="TX", Table1[[#This Row],[Type (TX, RX, TRX, Oscillator)]]="TX FE"),A145,#N/A)</f>
        <v>#N/A</v>
      </c>
      <c r="C145" s="1">
        <f>IF(OR(Table1[[#This Row],[Type (TX, RX, TRX, Oscillator)]]="RX", Table1[[#This Row],[Type (TX, RX, TRX, Oscillator)]]="RX FE"),A145,#N/A)</f>
        <v>4</v>
      </c>
      <c r="D145" s="1" t="e">
        <f>IF(OR(Table1[[#This Row],[Type (TX, RX, TRX, Oscillator)]]="TRX",Table1[[#This Row],[Type (TX, RX, TRX, Oscillator)]]="TRX FE"),A145,#N/A)</f>
        <v>#N/A</v>
      </c>
      <c r="E145" s="1" t="e">
        <f>IF(Table1[[#This Row],[Type (TX, RX, TRX, Oscillator)]]="Oscillator",A145,#N/A)</f>
        <v>#N/A</v>
      </c>
      <c r="F145" s="1" t="e">
        <f>IF(Table1[[#This Row],[Type (TX, RX, TRX, Oscillator)]]="Relay",A145,#N/A)</f>
        <v>#N/A</v>
      </c>
      <c r="H145" s="1">
        <f>IF(Table1[[#This Row],[Process (CMOS_Bulk, CMOS_SOI, CMOS_FinFET, SiGe)]]&lt;&gt;"",Table1[[#This Row],[TX '# of Polarization]]+Table1[[#This Row],[RX '# of Polarization]],#N/A)</f>
        <v>1</v>
      </c>
      <c r="I145" s="1" t="e">
        <f>IF(OR(Table1[[#This Row],[Type (TX, RX, TRX, Oscillator)]]="TX", Table1[[#This Row],[Type (TX, RX, TRX, Oscillator)]]="TX FE"),H145,#N/A)</f>
        <v>#N/A</v>
      </c>
      <c r="J145" s="1">
        <f>IF(OR(Table1[[#This Row],[Type (TX, RX, TRX, Oscillator)]]="RX", Table1[[#This Row],[Type (TX, RX, TRX, Oscillator)]]="RX FE"),H145,#N/A)</f>
        <v>1</v>
      </c>
      <c r="K145" s="1" t="e">
        <f>IF(OR(Table1[[#This Row],[Type (TX, RX, TRX, Oscillator)]]="TRX",Table1[[#This Row],[Type (TX, RX, TRX, Oscillator)]]="TRX FE"),H145,#N/A)</f>
        <v>#N/A</v>
      </c>
      <c r="L145" s="1" t="e">
        <f>IF(Table1[[#This Row],[Type (TX, RX, TRX, Oscillator)]]="Oscillator",H145,#N/A)</f>
        <v>#N/A</v>
      </c>
      <c r="M145" s="1" t="e">
        <f>IF(Table1[[#This Row],[Type (TX, RX, TRX, Oscillator)]]="Relay",H145,#N/A)</f>
        <v>#N/A</v>
      </c>
    </row>
    <row r="146" spans="1:13" x14ac:dyDescent="0.2">
      <c r="A146" s="1">
        <f>IF(OR(Table1[[#This Row],['# of TX Element per IC]]&lt;&gt;"",Table1[[#This Row],['# of RX Element per IC]]&lt;&gt;""),Table1[[#This Row],['# of TX Element per IC]]+Table1[[#This Row],['# of RX Element per IC]],#N/A)</f>
        <v>126</v>
      </c>
      <c r="B146" s="1" t="e">
        <f>IF(OR(Table1[[#This Row],[Type (TX, RX, TRX, Oscillator)]]="TX", Table1[[#This Row],[Type (TX, RX, TRX, Oscillator)]]="TX FE"),A146,#N/A)</f>
        <v>#N/A</v>
      </c>
      <c r="C146" s="1" t="e">
        <f>IF(OR(Table1[[#This Row],[Type (TX, RX, TRX, Oscillator)]]="RX", Table1[[#This Row],[Type (TX, RX, TRX, Oscillator)]]="RX FE"),A146,#N/A)</f>
        <v>#N/A</v>
      </c>
      <c r="D146" s="1">
        <f>IF(OR(Table1[[#This Row],[Type (TX, RX, TRX, Oscillator)]]="TRX",Table1[[#This Row],[Type (TX, RX, TRX, Oscillator)]]="TRX FE"),A146,#N/A)</f>
        <v>126</v>
      </c>
      <c r="E146" s="1" t="e">
        <f>IF(Table1[[#This Row],[Type (TX, RX, TRX, Oscillator)]]="Oscillator",A146,#N/A)</f>
        <v>#N/A</v>
      </c>
      <c r="F146" s="1" t="e">
        <f>IF(Table1[[#This Row],[Type (TX, RX, TRX, Oscillator)]]="Relay",A146,#N/A)</f>
        <v>#N/A</v>
      </c>
      <c r="H146" s="1">
        <f>IF(Table1[[#This Row],[Process (CMOS_Bulk, CMOS_SOI, CMOS_FinFET, SiGe)]]&lt;&gt;"",Table1[[#This Row],[TX '# of Polarization]]+Table1[[#This Row],[RX '# of Polarization]],#N/A)</f>
        <v>2</v>
      </c>
      <c r="I146" s="1" t="e">
        <f>IF(OR(Table1[[#This Row],[Type (TX, RX, TRX, Oscillator)]]="TX", Table1[[#This Row],[Type (TX, RX, TRX, Oscillator)]]="TX FE"),H146,#N/A)</f>
        <v>#N/A</v>
      </c>
      <c r="J146" s="1" t="e">
        <f>IF(OR(Table1[[#This Row],[Type (TX, RX, TRX, Oscillator)]]="RX", Table1[[#This Row],[Type (TX, RX, TRX, Oscillator)]]="RX FE"),H146,#N/A)</f>
        <v>#N/A</v>
      </c>
      <c r="K146" s="1">
        <f>IF(OR(Table1[[#This Row],[Type (TX, RX, TRX, Oscillator)]]="TRX",Table1[[#This Row],[Type (TX, RX, TRX, Oscillator)]]="TRX FE"),H146,#N/A)</f>
        <v>2</v>
      </c>
      <c r="L146" s="1" t="e">
        <f>IF(Table1[[#This Row],[Type (TX, RX, TRX, Oscillator)]]="Oscillator",H146,#N/A)</f>
        <v>#N/A</v>
      </c>
      <c r="M146" s="1" t="e">
        <f>IF(Table1[[#This Row],[Type (TX, RX, TRX, Oscillator)]]="Relay",H146,#N/A)</f>
        <v>#N/A</v>
      </c>
    </row>
    <row r="147" spans="1:13" x14ac:dyDescent="0.2">
      <c r="A147" s="1">
        <f>IF(OR(Table1[[#This Row],['# of TX Element per IC]]&lt;&gt;"",Table1[[#This Row],['# of RX Element per IC]]&lt;&gt;""),Table1[[#This Row],['# of TX Element per IC]]+Table1[[#This Row],['# of RX Element per IC]],#N/A)</f>
        <v>8</v>
      </c>
      <c r="B147" s="1" t="e">
        <f>IF(OR(Table1[[#This Row],[Type (TX, RX, TRX, Oscillator)]]="TX", Table1[[#This Row],[Type (TX, RX, TRX, Oscillator)]]="TX FE"),A147,#N/A)</f>
        <v>#N/A</v>
      </c>
      <c r="C147" s="1" t="e">
        <f>IF(OR(Table1[[#This Row],[Type (TX, RX, TRX, Oscillator)]]="RX", Table1[[#This Row],[Type (TX, RX, TRX, Oscillator)]]="RX FE"),A147,#N/A)</f>
        <v>#N/A</v>
      </c>
      <c r="D147" s="1" t="e">
        <f>IF(OR(Table1[[#This Row],[Type (TX, RX, TRX, Oscillator)]]="TRX",Table1[[#This Row],[Type (TX, RX, TRX, Oscillator)]]="TRX FE"),A147,#N/A)</f>
        <v>#N/A</v>
      </c>
      <c r="E147" s="1" t="e">
        <f>IF(Table1[[#This Row],[Type (TX, RX, TRX, Oscillator)]]="Oscillator",A147,#N/A)</f>
        <v>#N/A</v>
      </c>
      <c r="F147" s="1" t="e">
        <f>IF(Table1[[#This Row],[Type (TX, RX, TRX, Oscillator)]]="Relay",A147,#N/A)</f>
        <v>#N/A</v>
      </c>
      <c r="H147" s="1">
        <f>IF(Table1[[#This Row],[Process (CMOS_Bulk, CMOS_SOI, CMOS_FinFET, SiGe)]]&lt;&gt;"",Table1[[#This Row],[TX '# of Polarization]]+Table1[[#This Row],[RX '# of Polarization]],#N/A)</f>
        <v>2</v>
      </c>
      <c r="I147" s="1" t="e">
        <f>IF(OR(Table1[[#This Row],[Type (TX, RX, TRX, Oscillator)]]="TX", Table1[[#This Row],[Type (TX, RX, TRX, Oscillator)]]="TX FE"),H147,#N/A)</f>
        <v>#N/A</v>
      </c>
      <c r="J147" s="1" t="e">
        <f>IF(OR(Table1[[#This Row],[Type (TX, RX, TRX, Oscillator)]]="RX", Table1[[#This Row],[Type (TX, RX, TRX, Oscillator)]]="RX FE"),H147,#N/A)</f>
        <v>#N/A</v>
      </c>
      <c r="K147" s="1" t="e">
        <f>IF(OR(Table1[[#This Row],[Type (TX, RX, TRX, Oscillator)]]="TRX",Table1[[#This Row],[Type (TX, RX, TRX, Oscillator)]]="TRX FE"),H147,#N/A)</f>
        <v>#N/A</v>
      </c>
      <c r="L147" s="1" t="e">
        <f>IF(Table1[[#This Row],[Type (TX, RX, TRX, Oscillator)]]="Oscillator",H147,#N/A)</f>
        <v>#N/A</v>
      </c>
      <c r="M147" s="1" t="e">
        <f>IF(Table1[[#This Row],[Type (TX, RX, TRX, Oscillator)]]="Relay",H147,#N/A)</f>
        <v>#N/A</v>
      </c>
    </row>
    <row r="148" spans="1:13" x14ac:dyDescent="0.2">
      <c r="A148" s="1"/>
      <c r="H148" s="1"/>
    </row>
    <row r="149" spans="1:13" x14ac:dyDescent="0.2">
      <c r="A149" s="1"/>
      <c r="H149" s="1"/>
    </row>
    <row r="150" spans="1:13" x14ac:dyDescent="0.2">
      <c r="A150" s="1"/>
      <c r="H150" s="1"/>
    </row>
    <row r="151" spans="1:13" x14ac:dyDescent="0.2">
      <c r="A151" s="1"/>
      <c r="H151" s="1"/>
    </row>
    <row r="152" spans="1:13" x14ac:dyDescent="0.2">
      <c r="A152" s="1"/>
      <c r="H152" s="1"/>
    </row>
    <row r="153" spans="1:13" x14ac:dyDescent="0.2">
      <c r="A153" s="1"/>
      <c r="H153" s="1"/>
    </row>
    <row r="154" spans="1:13" x14ac:dyDescent="0.2">
      <c r="A154" s="1"/>
      <c r="H154" s="1"/>
    </row>
    <row r="155" spans="1:13" x14ac:dyDescent="0.2">
      <c r="A155" s="1"/>
      <c r="H155" s="1"/>
    </row>
    <row r="156" spans="1:13" x14ac:dyDescent="0.2">
      <c r="A156" s="1"/>
      <c r="H156" s="1"/>
    </row>
    <row r="157" spans="1:13" x14ac:dyDescent="0.2">
      <c r="A157" s="1"/>
      <c r="H157" s="1"/>
    </row>
    <row r="158" spans="1:13" x14ac:dyDescent="0.2">
      <c r="A158" s="1"/>
      <c r="H158" s="1"/>
    </row>
    <row r="159" spans="1:13" x14ac:dyDescent="0.2">
      <c r="A159" s="1"/>
      <c r="H159" s="1"/>
    </row>
    <row r="160" spans="1:13" x14ac:dyDescent="0.2">
      <c r="A160" s="1"/>
      <c r="H160" s="1"/>
    </row>
    <row r="161" spans="1:8" x14ac:dyDescent="0.2">
      <c r="A161" s="1"/>
      <c r="H161" s="1"/>
    </row>
    <row r="162" spans="1:8" x14ac:dyDescent="0.2">
      <c r="A162" s="1"/>
      <c r="H162" s="1"/>
    </row>
    <row r="163" spans="1:8" x14ac:dyDescent="0.2">
      <c r="A163" s="1"/>
      <c r="H163" s="1"/>
    </row>
    <row r="164" spans="1:8" x14ac:dyDescent="0.2">
      <c r="A164" s="1"/>
      <c r="H164" s="1"/>
    </row>
    <row r="165" spans="1:8" x14ac:dyDescent="0.2">
      <c r="A165" s="1"/>
      <c r="H165" s="1"/>
    </row>
    <row r="166" spans="1:8" x14ac:dyDescent="0.2">
      <c r="A166" s="1"/>
      <c r="H166" s="1"/>
    </row>
    <row r="167" spans="1:8" x14ac:dyDescent="0.2">
      <c r="A167" s="1"/>
      <c r="H167" s="1"/>
    </row>
    <row r="168" spans="1:8" x14ac:dyDescent="0.2">
      <c r="A168" s="1"/>
      <c r="H168" s="1"/>
    </row>
    <row r="169" spans="1:8" x14ac:dyDescent="0.2">
      <c r="A169" s="1"/>
      <c r="H169" s="1"/>
    </row>
    <row r="170" spans="1:8" x14ac:dyDescent="0.2">
      <c r="A170" s="1"/>
      <c r="H170" s="1"/>
    </row>
    <row r="171" spans="1:8" x14ac:dyDescent="0.2">
      <c r="A171" s="1"/>
      <c r="H171" s="1"/>
    </row>
    <row r="172" spans="1:8" x14ac:dyDescent="0.2">
      <c r="A172" s="1"/>
      <c r="H172" s="1"/>
    </row>
    <row r="173" spans="1:8" x14ac:dyDescent="0.2">
      <c r="A173" s="1"/>
      <c r="H173" s="1"/>
    </row>
    <row r="174" spans="1:8" x14ac:dyDescent="0.2">
      <c r="A174" s="1"/>
      <c r="H174" s="1"/>
    </row>
    <row r="175" spans="1:8" x14ac:dyDescent="0.2">
      <c r="A175" s="1"/>
      <c r="H175" s="1"/>
    </row>
    <row r="176" spans="1:8" x14ac:dyDescent="0.2">
      <c r="A176" s="1"/>
      <c r="H176" s="1"/>
    </row>
    <row r="177" spans="1:8" x14ac:dyDescent="0.2">
      <c r="A177" s="1"/>
      <c r="H177" s="1"/>
    </row>
    <row r="178" spans="1:8" x14ac:dyDescent="0.2">
      <c r="A178" s="1"/>
      <c r="H178" s="1"/>
    </row>
    <row r="179" spans="1:8" x14ac:dyDescent="0.2">
      <c r="A179" s="1"/>
      <c r="H179" s="1"/>
    </row>
    <row r="180" spans="1:8" x14ac:dyDescent="0.2">
      <c r="A180" s="1"/>
      <c r="H180" s="1"/>
    </row>
    <row r="181" spans="1:8" x14ac:dyDescent="0.2">
      <c r="A181" s="1"/>
      <c r="H181" s="1"/>
    </row>
    <row r="182" spans="1:8" x14ac:dyDescent="0.2">
      <c r="A182" s="1"/>
      <c r="H182" s="1"/>
    </row>
    <row r="183" spans="1:8" x14ac:dyDescent="0.2">
      <c r="A183" s="1"/>
      <c r="H183" s="1"/>
    </row>
    <row r="184" spans="1:8" x14ac:dyDescent="0.2">
      <c r="A184" s="1"/>
      <c r="H184" s="1"/>
    </row>
    <row r="185" spans="1:8" x14ac:dyDescent="0.2">
      <c r="A185" s="1"/>
      <c r="H185" s="1"/>
    </row>
    <row r="186" spans="1:8" x14ac:dyDescent="0.2">
      <c r="A186" s="1"/>
      <c r="H186" s="1"/>
    </row>
    <row r="187" spans="1:8" x14ac:dyDescent="0.2">
      <c r="A187" s="1"/>
      <c r="H187" s="1"/>
    </row>
    <row r="188" spans="1:8" x14ac:dyDescent="0.2">
      <c r="A188" s="1"/>
      <c r="H1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98814-3FE6-4E27-A39B-0CD93F06A99D}">
  <dimension ref="A1:BB147"/>
  <sheetViews>
    <sheetView workbookViewId="0">
      <selection activeCell="J2" sqref="J2"/>
    </sheetView>
  </sheetViews>
  <sheetFormatPr baseColWidth="10" defaultColWidth="8.83203125" defaultRowHeight="15" x14ac:dyDescent="0.2"/>
  <cols>
    <col min="1" max="1" width="13.1640625" style="1" bestFit="1" customWidth="1"/>
    <col min="2" max="2" width="18.83203125" style="30" bestFit="1" customWidth="1"/>
    <col min="3" max="3" width="25" style="1" bestFit="1" customWidth="1"/>
    <col min="4" max="4" width="27.6640625" style="1" bestFit="1" customWidth="1"/>
    <col min="5" max="6" width="29.5" style="1" bestFit="1" customWidth="1"/>
    <col min="7" max="7" width="30.5" style="1" bestFit="1" customWidth="1"/>
    <col min="8" max="9" width="31.33203125" style="1" bestFit="1" customWidth="1"/>
    <col min="10" max="11" width="31.33203125" style="1" customWidth="1"/>
    <col min="12" max="12" width="13.33203125" style="1" bestFit="1" customWidth="1"/>
    <col min="13" max="13" width="18.83203125" style="1" bestFit="1" customWidth="1"/>
    <col min="14" max="14" width="21" style="1" bestFit="1" customWidth="1"/>
    <col min="15" max="15" width="28" style="1" bestFit="1" customWidth="1"/>
    <col min="16" max="17" width="29.5" style="1" bestFit="1" customWidth="1"/>
    <col min="18" max="18" width="30.5" style="1" bestFit="1" customWidth="1"/>
    <col min="19" max="20" width="31.33203125" style="1" bestFit="1" customWidth="1"/>
    <col min="21" max="21" width="28.5" style="1" bestFit="1" customWidth="1"/>
    <col min="22" max="22" width="28.5" style="1" customWidth="1"/>
    <col min="23" max="23" width="14.33203125" style="1" bestFit="1" customWidth="1"/>
    <col min="24" max="24" width="19.83203125" style="1" bestFit="1" customWidth="1"/>
    <col min="25" max="25" width="21.83203125" style="1" bestFit="1" customWidth="1"/>
    <col min="26" max="26" width="21" style="1" bestFit="1" customWidth="1"/>
    <col min="27" max="27" width="28.1640625" style="1" bestFit="1" customWidth="1"/>
    <col min="28" max="29" width="29.5" style="1" bestFit="1" customWidth="1"/>
    <col min="30" max="30" width="30.5" style="1" bestFit="1" customWidth="1"/>
    <col min="31" max="32" width="31.5" style="1" bestFit="1" customWidth="1"/>
    <col min="33" max="33" width="28.83203125" style="1" customWidth="1"/>
    <col min="34" max="34" width="19.5" style="1" bestFit="1" customWidth="1"/>
    <col min="35" max="35" width="25.1640625" style="1" bestFit="1" customWidth="1"/>
    <col min="36" max="36" width="27.1640625" style="1" bestFit="1" customWidth="1"/>
    <col min="37" max="44" width="27.1640625" style="1" customWidth="1"/>
    <col min="45" max="45" width="19.5" style="1" bestFit="1" customWidth="1"/>
    <col min="46" max="46" width="25.1640625" style="30" bestFit="1" customWidth="1"/>
    <col min="47" max="47" width="27.1640625" style="1" bestFit="1" customWidth="1"/>
    <col min="48" max="48" width="34.5" style="1" bestFit="1" customWidth="1"/>
    <col min="49" max="50" width="35.6640625" style="1" bestFit="1" customWidth="1"/>
    <col min="51" max="51" width="33.1640625" style="1" bestFit="1" customWidth="1"/>
    <col min="52" max="53" width="34.1640625" style="1" bestFit="1" customWidth="1"/>
    <col min="54" max="54" width="31.33203125" style="1" bestFit="1" customWidth="1"/>
    <col min="55" max="16384" width="8.83203125" style="1"/>
  </cols>
  <sheetData>
    <row r="1" spans="1:54" x14ac:dyDescent="0.2">
      <c r="A1" s="1" t="s">
        <v>327</v>
      </c>
      <c r="B1" s="30" t="s">
        <v>330</v>
      </c>
      <c r="C1" s="1" t="s">
        <v>332</v>
      </c>
      <c r="D1" s="1" t="s">
        <v>343</v>
      </c>
      <c r="E1" s="1" t="s">
        <v>344</v>
      </c>
      <c r="F1" s="1" t="s">
        <v>345</v>
      </c>
      <c r="G1" s="1" t="s">
        <v>346</v>
      </c>
      <c r="H1" s="1" t="s">
        <v>347</v>
      </c>
      <c r="I1" s="1" t="s">
        <v>348</v>
      </c>
      <c r="J1" s="1" t="s">
        <v>349</v>
      </c>
      <c r="L1" s="1" t="s">
        <v>328</v>
      </c>
      <c r="M1" s="30" t="s">
        <v>331</v>
      </c>
      <c r="N1" s="1" t="s">
        <v>333</v>
      </c>
      <c r="O1" s="1" t="s">
        <v>350</v>
      </c>
      <c r="P1" s="1" t="s">
        <v>351</v>
      </c>
      <c r="Q1" s="1" t="s">
        <v>352</v>
      </c>
      <c r="R1" s="1" t="s">
        <v>353</v>
      </c>
      <c r="S1" s="1" t="s">
        <v>354</v>
      </c>
      <c r="T1" s="1" t="s">
        <v>355</v>
      </c>
      <c r="U1" s="1" t="s">
        <v>356</v>
      </c>
      <c r="W1" s="1" t="s">
        <v>334</v>
      </c>
      <c r="X1" s="30" t="s">
        <v>335</v>
      </c>
      <c r="Y1" s="1" t="s">
        <v>336</v>
      </c>
      <c r="Z1" s="1" t="s">
        <v>357</v>
      </c>
      <c r="AA1" s="1" t="s">
        <v>358</v>
      </c>
      <c r="AB1" s="1" t="s">
        <v>359</v>
      </c>
      <c r="AC1" s="1" t="s">
        <v>360</v>
      </c>
      <c r="AD1" s="1" t="s">
        <v>361</v>
      </c>
      <c r="AE1" s="1" t="s">
        <v>362</v>
      </c>
      <c r="AF1" s="1" t="s">
        <v>363</v>
      </c>
      <c r="AH1" s="1" t="s">
        <v>337</v>
      </c>
      <c r="AI1" s="30" t="s">
        <v>338</v>
      </c>
      <c r="AJ1" s="1" t="s">
        <v>339</v>
      </c>
      <c r="AK1" s="1" t="s">
        <v>364</v>
      </c>
      <c r="AL1" s="1" t="s">
        <v>365</v>
      </c>
      <c r="AM1" s="1" t="s">
        <v>366</v>
      </c>
      <c r="AN1" s="1" t="s">
        <v>367</v>
      </c>
      <c r="AO1" s="1" t="s">
        <v>368</v>
      </c>
      <c r="AP1" s="1" t="s">
        <v>369</v>
      </c>
      <c r="AQ1" s="1" t="s">
        <v>370</v>
      </c>
      <c r="AS1" s="1" t="s">
        <v>340</v>
      </c>
      <c r="AT1" s="30" t="s">
        <v>341</v>
      </c>
      <c r="AU1" s="1" t="s">
        <v>342</v>
      </c>
      <c r="AV1" s="1" t="s">
        <v>371</v>
      </c>
      <c r="AW1" s="1" t="s">
        <v>372</v>
      </c>
      <c r="AX1" s="1" t="s">
        <v>373</v>
      </c>
      <c r="AY1" s="1" t="s">
        <v>374</v>
      </c>
      <c r="AZ1" s="1" t="s">
        <v>375</v>
      </c>
      <c r="BA1" s="1" t="s">
        <v>376</v>
      </c>
      <c r="BB1" s="1" t="s">
        <v>377</v>
      </c>
    </row>
    <row r="2" spans="1:54" x14ac:dyDescent="0.2">
      <c r="A2" s="1">
        <f>IF(OR(Table1[[#This Row],[Type (TX, RX, TRX, Oscillator)]]="TX", Table1[[#This Row],[Type (TX, RX, TRX, Oscillator)]]="TX FE"),Table1[[#This Row],[Frequency (GHz)]],#N/A)</f>
        <v>60</v>
      </c>
      <c r="B2" s="30">
        <f>IF(OR(Table1[[#This Row],[Type (TX, RX, TRX, Oscillator)]]="TX", Table1[[#This Row],[Type (TX, RX, TRX, Oscillator)]]="TX FE"),DATE(Table1[[#This Row],[Year ]],Table1[[#This Row],[Month]],1),#N/A)</f>
        <v>40513</v>
      </c>
      <c r="C2" s="1">
        <f>IF(OR(Table1[[#This Row],[Type (TX, RX, TRX, Oscillator)]]="TX",Table1[[#This Row],[Type (TX, RX, TRX, Oscillator)]]="TX FE"),Table1[[#This Row],[Total Number of Elements (TX + RX)]],#N/A)</f>
        <v>16</v>
      </c>
      <c r="D2" s="1" t="e">
        <f>IF(A2&lt;20,C2,#N/A)</f>
        <v>#N/A</v>
      </c>
      <c r="E2" s="1" t="e">
        <f>IF(AND(A2&gt;=20,A2&lt;50),C2,#N/A)</f>
        <v>#N/A</v>
      </c>
      <c r="F2" s="1">
        <f>IF(AND(A2&gt;=50,A2&lt;75),C2,#N/A)</f>
        <v>16</v>
      </c>
      <c r="G2" s="1" t="e">
        <f>IF(AND(A2&gt;=75,A2&lt;110),C2,#N/A)</f>
        <v>#N/A</v>
      </c>
      <c r="H2" s="1" t="e">
        <f>IF(AND(A2&gt;=110,A2&lt;170),C2,#N/A)</f>
        <v>#N/A</v>
      </c>
      <c r="I2" s="1" t="e">
        <f>IF(AND(A2&gt;=170,A2&lt;260),C2,#N/A)</f>
        <v>#N/A</v>
      </c>
      <c r="J2" s="1" t="e">
        <f>IF(A2&gt;=260,C2,#N/A)</f>
        <v>#N/A</v>
      </c>
      <c r="L2" s="1" t="e">
        <f>IF(OR(Table1[[#This Row],[Type (TX, RX, TRX, Oscillator)]]="RX", Table1[[#This Row],[Type (TX, RX, TRX, Oscillator)]]="RX FE"),Table1[[#This Row],[Frequency (GHz)]],#N/A)</f>
        <v>#N/A</v>
      </c>
      <c r="M2" s="30" t="e">
        <f>IF(OR(Table1[[#This Row],[Type (TX, RX, TRX, Oscillator)]]="RX", Table1[[#This Row],[Type (TX, RX, TRX, Oscillator)]]="RX FE"),DATE(Table1[[#This Row],[Year ]],Table1[[#This Row],[Month]],1),#N/A)</f>
        <v>#N/A</v>
      </c>
      <c r="N2" s="1" t="e">
        <f>IF(OR(Table1[[#This Row],[Type (TX, RX, TRX, Oscillator)]]="RX", Table1[[#This Row],[Type (TX, RX, TRX, Oscillator)]]="RX FE"),Table1[[#This Row],[Total Number of Elements (TX + RX)]],#N/A)</f>
        <v>#N/A</v>
      </c>
      <c r="O2" s="1" t="e">
        <f>IF(L2&lt;20,N2,#N/A)</f>
        <v>#N/A</v>
      </c>
      <c r="P2" s="1" t="e">
        <f>IF(AND(L2&gt;=20,L2&lt;50),N2,#N/A)</f>
        <v>#N/A</v>
      </c>
      <c r="Q2" s="1" t="e">
        <f>IF(AND(L2&gt;=50,L2&lt;75),N2,#N/A)</f>
        <v>#N/A</v>
      </c>
      <c r="R2" s="1" t="e">
        <f>IF(AND(L2&gt;=75,L2&lt;110),N2,#N/A)</f>
        <v>#N/A</v>
      </c>
      <c r="S2" s="1" t="e">
        <f>IF(AND(L2&gt;=110,L2&lt;170),N2,#N/A)</f>
        <v>#N/A</v>
      </c>
      <c r="T2" s="1" t="e">
        <f>IF(AND(L2&gt;=170,L2&lt;260),N2,#N/A)</f>
        <v>#N/A</v>
      </c>
      <c r="U2" s="1" t="e">
        <f>IF(L2&gt;=260,N2,#N/A)</f>
        <v>#N/A</v>
      </c>
      <c r="W2" s="1" t="e">
        <f>IF(OR(Table1[[#This Row],[Type (TX, RX, TRX, Oscillator)]]="TRX",Table1[[#This Row],[Type (TX, RX, TRX, Oscillator)]]="TRX FE"),Table1[[#This Row],[Frequency (GHz)]],#N/A)</f>
        <v>#N/A</v>
      </c>
      <c r="X2" s="30" t="e">
        <f>IF(OR(Table1[[#This Row],[Type (TX, RX, TRX, Oscillator)]]="TRX", Table1[[#This Row],[Type (TX, RX, TRX, Oscillator)]]="TRX FE"),DATE(Table1[[#This Row],[Year ]],Table1[[#This Row],[Month]],1),#N/A)</f>
        <v>#N/A</v>
      </c>
      <c r="Y2" s="1" t="e">
        <f>IF(OR(Table1[[#This Row],[Type (TX, RX, TRX, Oscillator)]]="TRX", Table1[[#This Row],[Type (TX, RX, TRX, Oscillator)]]="TRX FE"),Table1[[#This Row],[Total Number of Elements (TX + RX)]],#N/A)</f>
        <v>#N/A</v>
      </c>
      <c r="Z2" s="1" t="e">
        <f>IF(W2&lt;20,Y2,#N/A)</f>
        <v>#N/A</v>
      </c>
      <c r="AA2" s="1" t="e">
        <f>IF(AND(W2&gt;=20,W2&lt;50),Y2,#N/A)</f>
        <v>#N/A</v>
      </c>
      <c r="AB2" s="1" t="e">
        <f>IF(AND(W2&gt;=50,W2&lt;75),Y2,#N/A)</f>
        <v>#N/A</v>
      </c>
      <c r="AC2" s="1" t="e">
        <f>IF(AND(W2&gt;=75,W2&lt;110),Y2,#N/A)</f>
        <v>#N/A</v>
      </c>
      <c r="AD2" s="1" t="e">
        <f>IF(AND(W2&gt;=110,W2&lt;170),Y2,#N/A)</f>
        <v>#N/A</v>
      </c>
      <c r="AE2" s="1" t="e">
        <f>IF(AND(W2&gt;=170,W2&lt;260),Y2,#N/A)</f>
        <v>#N/A</v>
      </c>
      <c r="AF2" s="1" t="e">
        <f>IF(W2&gt;=260,Y2,#N/A)</f>
        <v>#N/A</v>
      </c>
      <c r="AH2" s="1" t="e">
        <f>IF(Table1[[#This Row],[Type (TX, RX, TRX, Oscillator)]]="Oscillator",Table1[[#This Row],[Frequency (GHz)]],#N/A)</f>
        <v>#N/A</v>
      </c>
      <c r="AI2" s="30" t="e">
        <f>IF(Table1[[#This Row],[Type (TX, RX, TRX, Oscillator)]]="Oscillator",DATE(Table1[[#This Row],[Year ]],Table1[[#This Row],[Month]],1),#N/A)</f>
        <v>#N/A</v>
      </c>
      <c r="AJ2" s="1" t="e">
        <f>IF(Table1[[#This Row],[Type (TX, RX, TRX, Oscillator)]]="Oscillator",Table1[[#This Row],[Total Number of Elements (TX + RX)]],#N/A)</f>
        <v>#N/A</v>
      </c>
      <c r="AK2" s="1" t="e">
        <f>IF(AH2&lt;20,AJ2,#N/A)</f>
        <v>#N/A</v>
      </c>
      <c r="AL2" s="1" t="e">
        <f>IF(AND(AH2&gt;=20,AH2&lt;50),AJ2,#N/A)</f>
        <v>#N/A</v>
      </c>
      <c r="AM2" s="1" t="e">
        <f>IF(AND(AH2&gt;=50,AH2&lt;75),AJ2,#N/A)</f>
        <v>#N/A</v>
      </c>
      <c r="AN2" s="1" t="e">
        <f>IF(AND(AH2&gt;=75,AH2&lt;110),AJ2,#N/A)</f>
        <v>#N/A</v>
      </c>
      <c r="AO2" s="1" t="e">
        <f>IF(AND(AH2&gt;=110,AH2&lt;170),AJ2,#N/A)</f>
        <v>#N/A</v>
      </c>
      <c r="AP2" s="1" t="e">
        <f>IF(AND(AH2&gt;=170,AH2&lt;260),AJ2,#N/A)</f>
        <v>#N/A</v>
      </c>
      <c r="AQ2" s="1" t="e">
        <f>IF(AH2&gt;=260,AJ2,#N/A)</f>
        <v>#N/A</v>
      </c>
      <c r="AS2" s="1" t="e">
        <f>IF(Table1[[#This Row],[Type (TX, RX, TRX, Oscillator)]]="Relay",Table1[[#This Row],[Frequency (GHz)]],#N/A)</f>
        <v>#N/A</v>
      </c>
      <c r="AT2" s="30" t="e">
        <f>IF(Table1[[#This Row],[Type (TX, RX, TRX, Oscillator)]]="Relay",DATE(Table1[[#This Row],[Year ]],Table1[[#This Row],[Month]],1),#N/A)</f>
        <v>#N/A</v>
      </c>
      <c r="AU2" s="1" t="e">
        <f>IF(Table1[[#This Row],[Type (TX, RX, TRX, Oscillator)]]="Relay",Table1[[#This Row],[Total Number of Elements (TX + RX)]],#N/A)</f>
        <v>#N/A</v>
      </c>
      <c r="AV2" s="1" t="e">
        <f>IF(AS2&lt;20,AU2,#N/A)</f>
        <v>#N/A</v>
      </c>
      <c r="AW2" s="1" t="e">
        <f>IF(AND(AS2&gt;=20,AS2&lt;50),AU2,#N/A)</f>
        <v>#N/A</v>
      </c>
      <c r="AX2" s="1" t="e">
        <f>IF(AND(AS2&gt;=50,AS2&lt;75),AU2,#N/A)</f>
        <v>#N/A</v>
      </c>
      <c r="AY2" s="1" t="e">
        <f>IF(AND(AS2&gt;=75,AS2&lt;110),AU2,#N/A)</f>
        <v>#N/A</v>
      </c>
      <c r="AZ2" s="1" t="e">
        <f>IF(AND(AS2&gt;=110,AS2&lt;170),AU2,#N/A)</f>
        <v>#N/A</v>
      </c>
      <c r="BA2" s="1" t="e">
        <f>IF(AND(AS2&gt;=170,AS2&lt;260),AU2,#N/A)</f>
        <v>#N/A</v>
      </c>
      <c r="BB2" s="1" t="e">
        <f>IF(AS2&gt;=260,AU2,#N/A)</f>
        <v>#N/A</v>
      </c>
    </row>
    <row r="3" spans="1:54" x14ac:dyDescent="0.2">
      <c r="A3" s="1" t="e">
        <f>IF(OR(Table1[[#This Row],[Type (TX, RX, TRX, Oscillator)]]="TX", Table1[[#This Row],[Type (TX, RX, TRX, Oscillator)]]="TX FE"),Table1[[#This Row],[Frequency (GHz)]],#N/A)</f>
        <v>#N/A</v>
      </c>
      <c r="B3" s="30" t="e">
        <f>IF(OR(Table1[[#This Row],[Type (TX, RX, TRX, Oscillator)]]="TX", Table1[[#This Row],[Type (TX, RX, TRX, Oscillator)]]="TX FE"),DATE(Table1[[#This Row],[Year ]],Table1[[#This Row],[Month]],1),#N/A)</f>
        <v>#N/A</v>
      </c>
      <c r="C3" s="1" t="e">
        <f>IF(OR(Table1[[#This Row],[Type (TX, RX, TRX, Oscillator)]]="TX",Table1[[#This Row],[Type (TX, RX, TRX, Oscillator)]]="TX FE"),Table1[[#This Row],[Total Number of Elements (TX + RX)]],#N/A)</f>
        <v>#N/A</v>
      </c>
      <c r="D3" s="1" t="e">
        <f t="shared" ref="D3:D66" si="0">IF(A3&lt;20,C3,#N/A)</f>
        <v>#N/A</v>
      </c>
      <c r="E3" s="1" t="e">
        <f t="shared" ref="E3:E66" si="1">IF(AND(A3&gt;=20,A3&lt;50),C3,#N/A)</f>
        <v>#N/A</v>
      </c>
      <c r="F3" s="1" t="e">
        <f t="shared" ref="F3:F66" si="2">IF(AND(A3&gt;=50,A3&lt;75),C3,#N/A)</f>
        <v>#N/A</v>
      </c>
      <c r="G3" s="1" t="e">
        <f t="shared" ref="G3:G66" si="3">IF(AND(A3&gt;=75,A3&lt;110),C3,#N/A)</f>
        <v>#N/A</v>
      </c>
      <c r="H3" s="1" t="e">
        <f t="shared" ref="H3:H66" si="4">IF(AND(A3&gt;=110,A3&lt;170),C3,#N/A)</f>
        <v>#N/A</v>
      </c>
      <c r="I3" s="1" t="e">
        <f t="shared" ref="I3:I66" si="5">IF(AND(A3&gt;=170,A3&lt;260),C3,#N/A)</f>
        <v>#N/A</v>
      </c>
      <c r="J3" s="1" t="e">
        <f t="shared" ref="J3:J66" si="6">IF(A3&gt;=260,C3,#N/A)</f>
        <v>#N/A</v>
      </c>
      <c r="L3" s="1" t="e">
        <f>IF(OR(Table1[[#This Row],[Type (TX, RX, TRX, Oscillator)]]="RX", Table1[[#This Row],[Type (TX, RX, TRX, Oscillator)]]="RX FE"),Table1[[#This Row],[Frequency (GHz)]],#N/A)</f>
        <v>#N/A</v>
      </c>
      <c r="M3" s="30" t="e">
        <f>IF(OR(Table1[[#This Row],[Type (TX, RX, TRX, Oscillator)]]="RX", Table1[[#This Row],[Type (TX, RX, TRX, Oscillator)]]="RX FE"),DATE(Table1[[#This Row],[Year ]],Table1[[#This Row],[Month]],1),#N/A)</f>
        <v>#N/A</v>
      </c>
      <c r="N3" s="1" t="e">
        <f>IF(OR(Table1[[#This Row],[Type (TX, RX, TRX, Oscillator)]]="RX", Table1[[#This Row],[Type (TX, RX, TRX, Oscillator)]]="RX FE"),Table1[[#This Row],[Total Number of Elements (TX + RX)]],#N/A)</f>
        <v>#N/A</v>
      </c>
      <c r="O3" s="1" t="e">
        <f t="shared" ref="O3:O66" si="7">IF(L3&lt;20,N3,#N/A)</f>
        <v>#N/A</v>
      </c>
      <c r="P3" s="1" t="e">
        <f t="shared" ref="P3:P66" si="8">IF(AND(L3&gt;=20,L3&lt;50),N3,#N/A)</f>
        <v>#N/A</v>
      </c>
      <c r="Q3" s="1" t="e">
        <f t="shared" ref="Q3:Q66" si="9">IF(AND(L3&gt;=50,L3&lt;75),N3,#N/A)</f>
        <v>#N/A</v>
      </c>
      <c r="R3" s="1" t="e">
        <f t="shared" ref="R3:R66" si="10">IF(AND(L3&gt;=75,L3&lt;110),N3,#N/A)</f>
        <v>#N/A</v>
      </c>
      <c r="S3" s="1" t="e">
        <f t="shared" ref="S3:S66" si="11">IF(AND(L3&gt;=110,L3&lt;170),N3,#N/A)</f>
        <v>#N/A</v>
      </c>
      <c r="T3" s="1" t="e">
        <f t="shared" ref="T3:T66" si="12">IF(AND(L3&gt;=170,L3&lt;260),N3,#N/A)</f>
        <v>#N/A</v>
      </c>
      <c r="U3" s="1" t="e">
        <f t="shared" ref="U3:U66" si="13">IF(L3&gt;=260,N3,#N/A)</f>
        <v>#N/A</v>
      </c>
      <c r="W3" s="1">
        <f>IF(OR(Table1[[#This Row],[Type (TX, RX, TRX, Oscillator)]]="TRX",Table1[[#This Row],[Type (TX, RX, TRX, Oscillator)]]="TRX FE"),Table1[[#This Row],[Frequency (GHz)]],#N/A)</f>
        <v>60</v>
      </c>
      <c r="X3" s="30">
        <f>IF(OR(Table1[[#This Row],[Type (TX, RX, TRX, Oscillator)]]="TRX", Table1[[#This Row],[Type (TX, RX, TRX, Oscillator)]]="TRX FE"),DATE(Table1[[#This Row],[Year ]],Table1[[#This Row],[Month]],1),#N/A)</f>
        <v>40575</v>
      </c>
      <c r="Y3" s="1">
        <f>IF(OR(Table1[[#This Row],[Type (TX, RX, TRX, Oscillator)]]="TRX", Table1[[#This Row],[Type (TX, RX, TRX, Oscillator)]]="TRX FE"),Table1[[#This Row],[Total Number of Elements (TX + RX)]],#N/A)</f>
        <v>36</v>
      </c>
      <c r="Z3" s="1" t="e">
        <f t="shared" ref="Z3:Z66" si="14">IF(W3&lt;20,Y3,#N/A)</f>
        <v>#N/A</v>
      </c>
      <c r="AA3" s="1" t="e">
        <f t="shared" ref="AA3:AA66" si="15">IF(AND(W3&gt;=20,W3&lt;50),Y3,#N/A)</f>
        <v>#N/A</v>
      </c>
      <c r="AB3" s="1">
        <f t="shared" ref="AB3:AB66" si="16">IF(AND(W3&gt;=50,W3&lt;75),Y3,#N/A)</f>
        <v>36</v>
      </c>
      <c r="AC3" s="1" t="e">
        <f t="shared" ref="AC3:AC66" si="17">IF(AND(W3&gt;=75,W3&lt;110),Y3,#N/A)</f>
        <v>#N/A</v>
      </c>
      <c r="AD3" s="1" t="e">
        <f t="shared" ref="AD3:AD66" si="18">IF(AND(W3&gt;=110,W3&lt;170),Y3,#N/A)</f>
        <v>#N/A</v>
      </c>
      <c r="AE3" s="1" t="e">
        <f t="shared" ref="AE3:AE66" si="19">IF(AND(W3&gt;=170,W3&lt;260),Y3,#N/A)</f>
        <v>#N/A</v>
      </c>
      <c r="AF3" s="1" t="e">
        <f t="shared" ref="AF3:AF66" si="20">IF(W3&gt;=260,Y3,#N/A)</f>
        <v>#N/A</v>
      </c>
      <c r="AH3" s="1" t="e">
        <f>IF(Table1[[#This Row],[Type (TX, RX, TRX, Oscillator)]]="Oscillator",Table1[[#This Row],[Frequency (GHz)]],#N/A)</f>
        <v>#N/A</v>
      </c>
      <c r="AI3" s="30" t="e">
        <f>IF(Table1[[#This Row],[Type (TX, RX, TRX, Oscillator)]]="Oscillator",DATE(Table1[[#This Row],[Year ]],Table1[[#This Row],[Month]],1),#N/A)</f>
        <v>#N/A</v>
      </c>
      <c r="AJ3" s="1" t="e">
        <f>IF(Table1[[#This Row],[Type (TX, RX, TRX, Oscillator)]]="Oscillator",Table1[[#This Row],[Total Number of Elements (TX + RX)]],#N/A)</f>
        <v>#N/A</v>
      </c>
      <c r="AK3" s="1" t="e">
        <f t="shared" ref="AK3:AK66" si="21">IF(AH3&lt;20,AJ3,#N/A)</f>
        <v>#N/A</v>
      </c>
      <c r="AL3" s="1" t="e">
        <f t="shared" ref="AL3:AL66" si="22">IF(AND(AH3&gt;=20,AH3&lt;50),AJ3,#N/A)</f>
        <v>#N/A</v>
      </c>
      <c r="AM3" s="1" t="e">
        <f t="shared" ref="AM3:AM66" si="23">IF(AND(AH3&gt;=50,AH3&lt;75),AJ3,#N/A)</f>
        <v>#N/A</v>
      </c>
      <c r="AN3" s="1" t="e">
        <f t="shared" ref="AN3:AN66" si="24">IF(AND(AH3&gt;=75,AH3&lt;110),AJ3,#N/A)</f>
        <v>#N/A</v>
      </c>
      <c r="AO3" s="1" t="e">
        <f t="shared" ref="AO3:AO66" si="25">IF(AND(AH3&gt;=110,AH3&lt;170),AJ3,#N/A)</f>
        <v>#N/A</v>
      </c>
      <c r="AP3" s="1" t="e">
        <f t="shared" ref="AP3:AP66" si="26">IF(AND(AH3&gt;=170,AH3&lt;260),AJ3,#N/A)</f>
        <v>#N/A</v>
      </c>
      <c r="AQ3" s="1" t="e">
        <f t="shared" ref="AQ3:AQ66" si="27">IF(AH3&gt;=260,AJ3,#N/A)</f>
        <v>#N/A</v>
      </c>
      <c r="AS3" s="1" t="e">
        <f>IF(Table1[[#This Row],[Type (TX, RX, TRX, Oscillator)]]="Relay",Table1[[#This Row],[Frequency (GHz)]],#N/A)</f>
        <v>#N/A</v>
      </c>
      <c r="AT3" s="30" t="e">
        <f>IF(Table1[[#This Row],[Type (TX, RX, TRX, Oscillator)]]="Relay",DATE(Table1[[#This Row],[Year ]],Table1[[#This Row],[Month]],1),#N/A)</f>
        <v>#N/A</v>
      </c>
      <c r="AU3" s="1" t="e">
        <f>IF(Table1[[#This Row],[Type (TX, RX, TRX, Oscillator)]]="Relay",Table1[[#This Row],[Total Number of Elements (TX + RX)]],#N/A)</f>
        <v>#N/A</v>
      </c>
      <c r="AV3" s="1" t="e">
        <f t="shared" ref="AV3:AV66" si="28">IF(AS3&lt;20,AU3,#N/A)</f>
        <v>#N/A</v>
      </c>
      <c r="AW3" s="1" t="e">
        <f t="shared" ref="AW3:AW66" si="29">IF(AND(AS3&gt;=20,AS3&lt;50),AU3,#N/A)</f>
        <v>#N/A</v>
      </c>
      <c r="AX3" s="1" t="e">
        <f t="shared" ref="AX3:AX66" si="30">IF(AND(AS3&gt;=50,AS3&lt;75),AU3,#N/A)</f>
        <v>#N/A</v>
      </c>
      <c r="AY3" s="1" t="e">
        <f t="shared" ref="AY3:AY66" si="31">IF(AND(AS3&gt;=75,AS3&lt;110),AU3,#N/A)</f>
        <v>#N/A</v>
      </c>
      <c r="AZ3" s="1" t="e">
        <f t="shared" ref="AZ3:AZ66" si="32">IF(AND(AS3&gt;=110,AS3&lt;170),AU3,#N/A)</f>
        <v>#N/A</v>
      </c>
      <c r="BA3" s="1" t="e">
        <f t="shared" ref="BA3:BA66" si="33">IF(AND(AS3&gt;=170,AS3&lt;260),AU3,#N/A)</f>
        <v>#N/A</v>
      </c>
      <c r="BB3" s="1" t="e">
        <f t="shared" ref="BB3:BB66" si="34">IF(AS3&gt;=260,AU3,#N/A)</f>
        <v>#N/A</v>
      </c>
    </row>
    <row r="4" spans="1:54" x14ac:dyDescent="0.2">
      <c r="A4" s="1" t="e">
        <f>IF(OR(Table1[[#This Row],[Type (TX, RX, TRX, Oscillator)]]="TX", Table1[[#This Row],[Type (TX, RX, TRX, Oscillator)]]="TX FE"),Table1[[#This Row],[Frequency (GHz)]],#N/A)</f>
        <v>#N/A</v>
      </c>
      <c r="B4" s="30" t="e">
        <f>IF(OR(Table1[[#This Row],[Type (TX, RX, TRX, Oscillator)]]="TX", Table1[[#This Row],[Type (TX, RX, TRX, Oscillator)]]="TX FE"),DATE(Table1[[#This Row],[Year ]],Table1[[#This Row],[Month]],1),#N/A)</f>
        <v>#N/A</v>
      </c>
      <c r="C4" s="1" t="e">
        <f>IF(OR(Table1[[#This Row],[Type (TX, RX, TRX, Oscillator)]]="TX",Table1[[#This Row],[Type (TX, RX, TRX, Oscillator)]]="TX FE"),Table1[[#This Row],[Total Number of Elements (TX + RX)]],#N/A)</f>
        <v>#N/A</v>
      </c>
      <c r="D4" s="1" t="e">
        <f t="shared" si="0"/>
        <v>#N/A</v>
      </c>
      <c r="E4" s="1" t="e">
        <f t="shared" si="1"/>
        <v>#N/A</v>
      </c>
      <c r="F4" s="1" t="e">
        <f t="shared" si="2"/>
        <v>#N/A</v>
      </c>
      <c r="G4" s="1" t="e">
        <f t="shared" si="3"/>
        <v>#N/A</v>
      </c>
      <c r="H4" s="1" t="e">
        <f t="shared" si="4"/>
        <v>#N/A</v>
      </c>
      <c r="I4" s="1" t="e">
        <f t="shared" si="5"/>
        <v>#N/A</v>
      </c>
      <c r="J4" s="1" t="e">
        <f t="shared" si="6"/>
        <v>#N/A</v>
      </c>
      <c r="L4" s="1" t="e">
        <f>IF(OR(Table1[[#This Row],[Type (TX, RX, TRX, Oscillator)]]="RX", Table1[[#This Row],[Type (TX, RX, TRX, Oscillator)]]="RX FE"),Table1[[#This Row],[Frequency (GHz)]],#N/A)</f>
        <v>#N/A</v>
      </c>
      <c r="M4" s="30" t="e">
        <f>IF(OR(Table1[[#This Row],[Type (TX, RX, TRX, Oscillator)]]="RX", Table1[[#This Row],[Type (TX, RX, TRX, Oscillator)]]="RX FE"),DATE(Table1[[#This Row],[Year ]],Table1[[#This Row],[Month]],1),#N/A)</f>
        <v>#N/A</v>
      </c>
      <c r="N4" s="1" t="e">
        <f>IF(OR(Table1[[#This Row],[Type (TX, RX, TRX, Oscillator)]]="RX", Table1[[#This Row],[Type (TX, RX, TRX, Oscillator)]]="RX FE"),Table1[[#This Row],[Total Number of Elements (TX + RX)]],#N/A)</f>
        <v>#N/A</v>
      </c>
      <c r="O4" s="1" t="e">
        <f t="shared" si="7"/>
        <v>#N/A</v>
      </c>
      <c r="P4" s="1" t="e">
        <f t="shared" si="8"/>
        <v>#N/A</v>
      </c>
      <c r="Q4" s="1" t="e">
        <f t="shared" si="9"/>
        <v>#N/A</v>
      </c>
      <c r="R4" s="1" t="e">
        <f t="shared" si="10"/>
        <v>#N/A</v>
      </c>
      <c r="S4" s="1" t="e">
        <f t="shared" si="11"/>
        <v>#N/A</v>
      </c>
      <c r="T4" s="1" t="e">
        <f t="shared" si="12"/>
        <v>#N/A</v>
      </c>
      <c r="U4" s="1" t="e">
        <f t="shared" si="13"/>
        <v>#N/A</v>
      </c>
      <c r="W4" s="1">
        <f>IF(OR(Table1[[#This Row],[Type (TX, RX, TRX, Oscillator)]]="TRX",Table1[[#This Row],[Type (TX, RX, TRX, Oscillator)]]="TRX FE"),Table1[[#This Row],[Frequency (GHz)]],#N/A)</f>
        <v>60</v>
      </c>
      <c r="X4" s="30">
        <f>IF(OR(Table1[[#This Row],[Type (TX, RX, TRX, Oscillator)]]="TRX", Table1[[#This Row],[Type (TX, RX, TRX, Oscillator)]]="TRX FE"),DATE(Table1[[#This Row],[Year ]],Table1[[#This Row],[Month]],1),#N/A)</f>
        <v>40575</v>
      </c>
      <c r="Y4" s="1">
        <f>IF(OR(Table1[[#This Row],[Type (TX, RX, TRX, Oscillator)]]="TRX", Table1[[#This Row],[Type (TX, RX, TRX, Oscillator)]]="TRX FE"),Table1[[#This Row],[Total Number of Elements (TX + RX)]],#N/A)</f>
        <v>40</v>
      </c>
      <c r="Z4" s="1" t="e">
        <f t="shared" si="14"/>
        <v>#N/A</v>
      </c>
      <c r="AA4" s="1" t="e">
        <f t="shared" si="15"/>
        <v>#N/A</v>
      </c>
      <c r="AB4" s="1">
        <f t="shared" si="16"/>
        <v>40</v>
      </c>
      <c r="AC4" s="1" t="e">
        <f t="shared" si="17"/>
        <v>#N/A</v>
      </c>
      <c r="AD4" s="1" t="e">
        <f t="shared" si="18"/>
        <v>#N/A</v>
      </c>
      <c r="AE4" s="1" t="e">
        <f t="shared" si="19"/>
        <v>#N/A</v>
      </c>
      <c r="AF4" s="1" t="e">
        <f t="shared" si="20"/>
        <v>#N/A</v>
      </c>
      <c r="AH4" s="1" t="e">
        <f>IF(Table1[[#This Row],[Type (TX, RX, TRX, Oscillator)]]="Oscillator",Table1[[#This Row],[Frequency (GHz)]],#N/A)</f>
        <v>#N/A</v>
      </c>
      <c r="AI4" s="30" t="e">
        <f>IF(Table1[[#This Row],[Type (TX, RX, TRX, Oscillator)]]="Oscillator",DATE(Table1[[#This Row],[Year ]],Table1[[#This Row],[Month]],1),#N/A)</f>
        <v>#N/A</v>
      </c>
      <c r="AJ4" s="1" t="e">
        <f>IF(Table1[[#This Row],[Type (TX, RX, TRX, Oscillator)]]="Oscillator",Table1[[#This Row],[Total Number of Elements (TX + RX)]],#N/A)</f>
        <v>#N/A</v>
      </c>
      <c r="AK4" s="1" t="e">
        <f t="shared" si="21"/>
        <v>#N/A</v>
      </c>
      <c r="AL4" s="1" t="e">
        <f t="shared" si="22"/>
        <v>#N/A</v>
      </c>
      <c r="AM4" s="1" t="e">
        <f t="shared" si="23"/>
        <v>#N/A</v>
      </c>
      <c r="AN4" s="1" t="e">
        <f t="shared" si="24"/>
        <v>#N/A</v>
      </c>
      <c r="AO4" s="1" t="e">
        <f t="shared" si="25"/>
        <v>#N/A</v>
      </c>
      <c r="AP4" s="1" t="e">
        <f t="shared" si="26"/>
        <v>#N/A</v>
      </c>
      <c r="AQ4" s="1" t="e">
        <f t="shared" si="27"/>
        <v>#N/A</v>
      </c>
      <c r="AS4" s="1" t="e">
        <f>IF(Table1[[#This Row],[Type (TX, RX, TRX, Oscillator)]]="Relay",Table1[[#This Row],[Frequency (GHz)]],#N/A)</f>
        <v>#N/A</v>
      </c>
      <c r="AT4" s="30" t="e">
        <f>IF(Table1[[#This Row],[Type (TX, RX, TRX, Oscillator)]]="Relay",DATE(Table1[[#This Row],[Year ]],Table1[[#This Row],[Month]],1),#N/A)</f>
        <v>#N/A</v>
      </c>
      <c r="AU4" s="1" t="e">
        <f>IF(Table1[[#This Row],[Type (TX, RX, TRX, Oscillator)]]="Relay",Table1[[#This Row],[Total Number of Elements (TX + RX)]],#N/A)</f>
        <v>#N/A</v>
      </c>
      <c r="AV4" s="1" t="e">
        <f t="shared" si="28"/>
        <v>#N/A</v>
      </c>
      <c r="AW4" s="1" t="e">
        <f t="shared" si="29"/>
        <v>#N/A</v>
      </c>
      <c r="AX4" s="1" t="e">
        <f t="shared" si="30"/>
        <v>#N/A</v>
      </c>
      <c r="AY4" s="1" t="e">
        <f t="shared" si="31"/>
        <v>#N/A</v>
      </c>
      <c r="AZ4" s="1" t="e">
        <f t="shared" si="32"/>
        <v>#N/A</v>
      </c>
      <c r="BA4" s="1" t="e">
        <f t="shared" si="33"/>
        <v>#N/A</v>
      </c>
      <c r="BB4" s="1" t="e">
        <f t="shared" si="34"/>
        <v>#N/A</v>
      </c>
    </row>
    <row r="5" spans="1:54" x14ac:dyDescent="0.2">
      <c r="A5" s="1" t="e">
        <f>IF(OR(Table1[[#This Row],[Type (TX, RX, TRX, Oscillator)]]="TX", Table1[[#This Row],[Type (TX, RX, TRX, Oscillator)]]="TX FE"),Table1[[#This Row],[Frequency (GHz)]],#N/A)</f>
        <v>#N/A</v>
      </c>
      <c r="B5" s="30" t="e">
        <f>IF(OR(Table1[[#This Row],[Type (TX, RX, TRX, Oscillator)]]="TX", Table1[[#This Row],[Type (TX, RX, TRX, Oscillator)]]="TX FE"),DATE(Table1[[#This Row],[Year ]],Table1[[#This Row],[Month]],1),#N/A)</f>
        <v>#N/A</v>
      </c>
      <c r="C5" s="1" t="e">
        <f>IF(OR(Table1[[#This Row],[Type (TX, RX, TRX, Oscillator)]]="TX",Table1[[#This Row],[Type (TX, RX, TRX, Oscillator)]]="TX FE"),Table1[[#This Row],[Total Number of Elements (TX + RX)]],#N/A)</f>
        <v>#N/A</v>
      </c>
      <c r="D5" s="1" t="e">
        <f t="shared" si="0"/>
        <v>#N/A</v>
      </c>
      <c r="E5" s="1" t="e">
        <f t="shared" si="1"/>
        <v>#N/A</v>
      </c>
      <c r="F5" s="1" t="e">
        <f t="shared" si="2"/>
        <v>#N/A</v>
      </c>
      <c r="G5" s="1" t="e">
        <f t="shared" si="3"/>
        <v>#N/A</v>
      </c>
      <c r="H5" s="1" t="e">
        <f t="shared" si="4"/>
        <v>#N/A</v>
      </c>
      <c r="I5" s="1" t="e">
        <f t="shared" si="5"/>
        <v>#N/A</v>
      </c>
      <c r="J5" s="1" t="e">
        <f t="shared" si="6"/>
        <v>#N/A</v>
      </c>
      <c r="L5" s="1">
        <f>IF(OR(Table1[[#This Row],[Type (TX, RX, TRX, Oscillator)]]="RX", Table1[[#This Row],[Type (TX, RX, TRX, Oscillator)]]="RX FE"),Table1[[#This Row],[Frequency (GHz)]],#N/A)</f>
        <v>60</v>
      </c>
      <c r="M5" s="30">
        <f>IF(OR(Table1[[#This Row],[Type (TX, RX, TRX, Oscillator)]]="RX", Table1[[#This Row],[Type (TX, RX, TRX, Oscillator)]]="RX FE"),DATE(Table1[[#This Row],[Year ]],Table1[[#This Row],[Month]],1),#N/A)</f>
        <v>40664</v>
      </c>
      <c r="N5" s="1">
        <f>IF(OR(Table1[[#This Row],[Type (TX, RX, TRX, Oscillator)]]="RX", Table1[[#This Row],[Type (TX, RX, TRX, Oscillator)]]="RX FE"),Table1[[#This Row],[Total Number of Elements (TX + RX)]],#N/A)</f>
        <v>16</v>
      </c>
      <c r="O5" s="1" t="e">
        <f t="shared" si="7"/>
        <v>#N/A</v>
      </c>
      <c r="P5" s="1" t="e">
        <f t="shared" si="8"/>
        <v>#N/A</v>
      </c>
      <c r="Q5" s="1">
        <f t="shared" si="9"/>
        <v>16</v>
      </c>
      <c r="R5" s="1" t="e">
        <f t="shared" si="10"/>
        <v>#N/A</v>
      </c>
      <c r="S5" s="1" t="e">
        <f t="shared" si="11"/>
        <v>#N/A</v>
      </c>
      <c r="T5" s="1" t="e">
        <f t="shared" si="12"/>
        <v>#N/A</v>
      </c>
      <c r="U5" s="1" t="e">
        <f t="shared" si="13"/>
        <v>#N/A</v>
      </c>
      <c r="W5" s="1" t="e">
        <f>IF(OR(Table1[[#This Row],[Type (TX, RX, TRX, Oscillator)]]="TRX",Table1[[#This Row],[Type (TX, RX, TRX, Oscillator)]]="TRX FE"),Table1[[#This Row],[Frequency (GHz)]],#N/A)</f>
        <v>#N/A</v>
      </c>
      <c r="X5" s="30" t="e">
        <f>IF(OR(Table1[[#This Row],[Type (TX, RX, TRX, Oscillator)]]="TRX", Table1[[#This Row],[Type (TX, RX, TRX, Oscillator)]]="TRX FE"),DATE(Table1[[#This Row],[Year ]],Table1[[#This Row],[Month]],1),#N/A)</f>
        <v>#N/A</v>
      </c>
      <c r="Y5" s="1" t="e">
        <f>IF(OR(Table1[[#This Row],[Type (TX, RX, TRX, Oscillator)]]="TRX", Table1[[#This Row],[Type (TX, RX, TRX, Oscillator)]]="TRX FE"),Table1[[#This Row],[Total Number of Elements (TX + RX)]],#N/A)</f>
        <v>#N/A</v>
      </c>
      <c r="Z5" s="1" t="e">
        <f t="shared" si="14"/>
        <v>#N/A</v>
      </c>
      <c r="AA5" s="1" t="e">
        <f t="shared" si="15"/>
        <v>#N/A</v>
      </c>
      <c r="AB5" s="1" t="e">
        <f t="shared" si="16"/>
        <v>#N/A</v>
      </c>
      <c r="AC5" s="1" t="e">
        <f t="shared" si="17"/>
        <v>#N/A</v>
      </c>
      <c r="AD5" s="1" t="e">
        <f t="shared" si="18"/>
        <v>#N/A</v>
      </c>
      <c r="AE5" s="1" t="e">
        <f t="shared" si="19"/>
        <v>#N/A</v>
      </c>
      <c r="AF5" s="1" t="e">
        <f t="shared" si="20"/>
        <v>#N/A</v>
      </c>
      <c r="AH5" s="1" t="e">
        <f>IF(Table1[[#This Row],[Type (TX, RX, TRX, Oscillator)]]="Oscillator",Table1[[#This Row],[Frequency (GHz)]],#N/A)</f>
        <v>#N/A</v>
      </c>
      <c r="AI5" s="30" t="e">
        <f>IF(Table1[[#This Row],[Type (TX, RX, TRX, Oscillator)]]="Oscillator",DATE(Table1[[#This Row],[Year ]],Table1[[#This Row],[Month]],1),#N/A)</f>
        <v>#N/A</v>
      </c>
      <c r="AJ5" s="1" t="e">
        <f>IF(Table1[[#This Row],[Type (TX, RX, TRX, Oscillator)]]="Oscillator",Table1[[#This Row],[Total Number of Elements (TX + RX)]],#N/A)</f>
        <v>#N/A</v>
      </c>
      <c r="AK5" s="1" t="e">
        <f t="shared" si="21"/>
        <v>#N/A</v>
      </c>
      <c r="AL5" s="1" t="e">
        <f t="shared" si="22"/>
        <v>#N/A</v>
      </c>
      <c r="AM5" s="1" t="e">
        <f t="shared" si="23"/>
        <v>#N/A</v>
      </c>
      <c r="AN5" s="1" t="e">
        <f t="shared" si="24"/>
        <v>#N/A</v>
      </c>
      <c r="AO5" s="1" t="e">
        <f t="shared" si="25"/>
        <v>#N/A</v>
      </c>
      <c r="AP5" s="1" t="e">
        <f t="shared" si="26"/>
        <v>#N/A</v>
      </c>
      <c r="AQ5" s="1" t="e">
        <f t="shared" si="27"/>
        <v>#N/A</v>
      </c>
      <c r="AS5" s="1" t="e">
        <f>IF(Table1[[#This Row],[Type (TX, RX, TRX, Oscillator)]]="Relay",Table1[[#This Row],[Frequency (GHz)]],#N/A)</f>
        <v>#N/A</v>
      </c>
      <c r="AT5" s="30" t="e">
        <f>IF(Table1[[#This Row],[Type (TX, RX, TRX, Oscillator)]]="Relay",DATE(Table1[[#This Row],[Year ]],Table1[[#This Row],[Month]],1),#N/A)</f>
        <v>#N/A</v>
      </c>
      <c r="AU5" s="1" t="e">
        <f>IF(Table1[[#This Row],[Type (TX, RX, TRX, Oscillator)]]="Relay",Table1[[#This Row],[Total Number of Elements (TX + RX)]],#N/A)</f>
        <v>#N/A</v>
      </c>
      <c r="AV5" s="1" t="e">
        <f t="shared" si="28"/>
        <v>#N/A</v>
      </c>
      <c r="AW5" s="1" t="e">
        <f t="shared" si="29"/>
        <v>#N/A</v>
      </c>
      <c r="AX5" s="1" t="e">
        <f t="shared" si="30"/>
        <v>#N/A</v>
      </c>
      <c r="AY5" s="1" t="e">
        <f t="shared" si="31"/>
        <v>#N/A</v>
      </c>
      <c r="AZ5" s="1" t="e">
        <f t="shared" si="32"/>
        <v>#N/A</v>
      </c>
      <c r="BA5" s="1" t="e">
        <f t="shared" si="33"/>
        <v>#N/A</v>
      </c>
      <c r="BB5" s="1" t="e">
        <f t="shared" si="34"/>
        <v>#N/A</v>
      </c>
    </row>
    <row r="6" spans="1:54" x14ac:dyDescent="0.2">
      <c r="A6" s="1">
        <f>IF(OR(Table1[[#This Row],[Type (TX, RX, TRX, Oscillator)]]="TX", Table1[[#This Row],[Type (TX, RX, TRX, Oscillator)]]="TX FE"),Table1[[#This Row],[Frequency (GHz)]],#N/A)</f>
        <v>110</v>
      </c>
      <c r="B6" s="30">
        <f>IF(OR(Table1[[#This Row],[Type (TX, RX, TRX, Oscillator)]]="TX", Table1[[#This Row],[Type (TX, RX, TRX, Oscillator)]]="TX FE"),DATE(Table1[[#This Row],[Year ]],Table1[[#This Row],[Month]],1),#N/A)</f>
        <v>41061</v>
      </c>
      <c r="C6" s="1">
        <f>IF(OR(Table1[[#This Row],[Type (TX, RX, TRX, Oscillator)]]="TX",Table1[[#This Row],[Type (TX, RX, TRX, Oscillator)]]="TX FE"),Table1[[#This Row],[Total Number of Elements (TX + RX)]],#N/A)</f>
        <v>16</v>
      </c>
      <c r="D6" s="1" t="e">
        <f t="shared" si="0"/>
        <v>#N/A</v>
      </c>
      <c r="E6" s="1" t="e">
        <f t="shared" si="1"/>
        <v>#N/A</v>
      </c>
      <c r="F6" s="1" t="e">
        <f t="shared" si="2"/>
        <v>#N/A</v>
      </c>
      <c r="G6" s="1" t="e">
        <f t="shared" si="3"/>
        <v>#N/A</v>
      </c>
      <c r="H6" s="1">
        <f t="shared" si="4"/>
        <v>16</v>
      </c>
      <c r="I6" s="1" t="e">
        <f t="shared" si="5"/>
        <v>#N/A</v>
      </c>
      <c r="J6" s="1" t="e">
        <f t="shared" si="6"/>
        <v>#N/A</v>
      </c>
      <c r="L6" s="1" t="e">
        <f>IF(OR(Table1[[#This Row],[Type (TX, RX, TRX, Oscillator)]]="RX", Table1[[#This Row],[Type (TX, RX, TRX, Oscillator)]]="RX FE"),Table1[[#This Row],[Frequency (GHz)]],#N/A)</f>
        <v>#N/A</v>
      </c>
      <c r="M6" s="30" t="e">
        <f>IF(OR(Table1[[#This Row],[Type (TX, RX, TRX, Oscillator)]]="RX", Table1[[#This Row],[Type (TX, RX, TRX, Oscillator)]]="RX FE"),DATE(Table1[[#This Row],[Year ]],Table1[[#This Row],[Month]],1),#N/A)</f>
        <v>#N/A</v>
      </c>
      <c r="N6" s="1" t="e">
        <f>IF(OR(Table1[[#This Row],[Type (TX, RX, TRX, Oscillator)]]="RX", Table1[[#This Row],[Type (TX, RX, TRX, Oscillator)]]="RX FE"),Table1[[#This Row],[Total Number of Elements (TX + RX)]],#N/A)</f>
        <v>#N/A</v>
      </c>
      <c r="O6" s="1" t="e">
        <f t="shared" si="7"/>
        <v>#N/A</v>
      </c>
      <c r="P6" s="1" t="e">
        <f t="shared" si="8"/>
        <v>#N/A</v>
      </c>
      <c r="Q6" s="1" t="e">
        <f t="shared" si="9"/>
        <v>#N/A</v>
      </c>
      <c r="R6" s="1" t="e">
        <f t="shared" si="10"/>
        <v>#N/A</v>
      </c>
      <c r="S6" s="1" t="e">
        <f t="shared" si="11"/>
        <v>#N/A</v>
      </c>
      <c r="T6" s="1" t="e">
        <f t="shared" si="12"/>
        <v>#N/A</v>
      </c>
      <c r="U6" s="1" t="e">
        <f t="shared" si="13"/>
        <v>#N/A</v>
      </c>
      <c r="W6" s="1" t="e">
        <f>IF(OR(Table1[[#This Row],[Type (TX, RX, TRX, Oscillator)]]="TRX",Table1[[#This Row],[Type (TX, RX, TRX, Oscillator)]]="TRX FE"),Table1[[#This Row],[Frequency (GHz)]],#N/A)</f>
        <v>#N/A</v>
      </c>
      <c r="X6" s="30" t="e">
        <f>IF(OR(Table1[[#This Row],[Type (TX, RX, TRX, Oscillator)]]="TRX", Table1[[#This Row],[Type (TX, RX, TRX, Oscillator)]]="TRX FE"),DATE(Table1[[#This Row],[Year ]],Table1[[#This Row],[Month]],1),#N/A)</f>
        <v>#N/A</v>
      </c>
      <c r="Y6" s="1" t="e">
        <f>IF(OR(Table1[[#This Row],[Type (TX, RX, TRX, Oscillator)]]="TRX", Table1[[#This Row],[Type (TX, RX, TRX, Oscillator)]]="TRX FE"),Table1[[#This Row],[Total Number of Elements (TX + RX)]],#N/A)</f>
        <v>#N/A</v>
      </c>
      <c r="Z6" s="1" t="e">
        <f t="shared" si="14"/>
        <v>#N/A</v>
      </c>
      <c r="AA6" s="1" t="e">
        <f t="shared" si="15"/>
        <v>#N/A</v>
      </c>
      <c r="AB6" s="1" t="e">
        <f t="shared" si="16"/>
        <v>#N/A</v>
      </c>
      <c r="AC6" s="1" t="e">
        <f t="shared" si="17"/>
        <v>#N/A</v>
      </c>
      <c r="AD6" s="1" t="e">
        <f t="shared" si="18"/>
        <v>#N/A</v>
      </c>
      <c r="AE6" s="1" t="e">
        <f t="shared" si="19"/>
        <v>#N/A</v>
      </c>
      <c r="AF6" s="1" t="e">
        <f t="shared" si="20"/>
        <v>#N/A</v>
      </c>
      <c r="AH6" s="1" t="e">
        <f>IF(Table1[[#This Row],[Type (TX, RX, TRX, Oscillator)]]="Oscillator",Table1[[#This Row],[Frequency (GHz)]],#N/A)</f>
        <v>#N/A</v>
      </c>
      <c r="AI6" s="30" t="e">
        <f>IF(Table1[[#This Row],[Type (TX, RX, TRX, Oscillator)]]="Oscillator",DATE(Table1[[#This Row],[Year ]],Table1[[#This Row],[Month]],1),#N/A)</f>
        <v>#N/A</v>
      </c>
      <c r="AJ6" s="1" t="e">
        <f>IF(Table1[[#This Row],[Type (TX, RX, TRX, Oscillator)]]="Oscillator",Table1[[#This Row],[Total Number of Elements (TX + RX)]],#N/A)</f>
        <v>#N/A</v>
      </c>
      <c r="AK6" s="1" t="e">
        <f t="shared" si="21"/>
        <v>#N/A</v>
      </c>
      <c r="AL6" s="1" t="e">
        <f t="shared" si="22"/>
        <v>#N/A</v>
      </c>
      <c r="AM6" s="1" t="e">
        <f t="shared" si="23"/>
        <v>#N/A</v>
      </c>
      <c r="AN6" s="1" t="e">
        <f t="shared" si="24"/>
        <v>#N/A</v>
      </c>
      <c r="AO6" s="1" t="e">
        <f t="shared" si="25"/>
        <v>#N/A</v>
      </c>
      <c r="AP6" s="1" t="e">
        <f t="shared" si="26"/>
        <v>#N/A</v>
      </c>
      <c r="AQ6" s="1" t="e">
        <f t="shared" si="27"/>
        <v>#N/A</v>
      </c>
      <c r="AS6" s="1" t="e">
        <f>IF(Table1[[#This Row],[Type (TX, RX, TRX, Oscillator)]]="Relay",Table1[[#This Row],[Frequency (GHz)]],#N/A)</f>
        <v>#N/A</v>
      </c>
      <c r="AT6" s="30" t="e">
        <f>IF(Table1[[#This Row],[Type (TX, RX, TRX, Oscillator)]]="Relay",DATE(Table1[[#This Row],[Year ]],Table1[[#This Row],[Month]],1),#N/A)</f>
        <v>#N/A</v>
      </c>
      <c r="AU6" s="1" t="e">
        <f>IF(Table1[[#This Row],[Type (TX, RX, TRX, Oscillator)]]="Relay",Table1[[#This Row],[Total Number of Elements (TX + RX)]],#N/A)</f>
        <v>#N/A</v>
      </c>
      <c r="AV6" s="1" t="e">
        <f t="shared" si="28"/>
        <v>#N/A</v>
      </c>
      <c r="AW6" s="1" t="e">
        <f t="shared" si="29"/>
        <v>#N/A</v>
      </c>
      <c r="AX6" s="1" t="e">
        <f t="shared" si="30"/>
        <v>#N/A</v>
      </c>
      <c r="AY6" s="1" t="e">
        <f t="shared" si="31"/>
        <v>#N/A</v>
      </c>
      <c r="AZ6" s="1" t="e">
        <f t="shared" si="32"/>
        <v>#N/A</v>
      </c>
      <c r="BA6" s="1" t="e">
        <f t="shared" si="33"/>
        <v>#N/A</v>
      </c>
      <c r="BB6" s="1" t="e">
        <f t="shared" si="34"/>
        <v>#N/A</v>
      </c>
    </row>
    <row r="7" spans="1:54" x14ac:dyDescent="0.2">
      <c r="A7" s="1" t="e">
        <f>IF(OR(Table1[[#This Row],[Type (TX, RX, TRX, Oscillator)]]="TX", Table1[[#This Row],[Type (TX, RX, TRX, Oscillator)]]="TX FE"),Table1[[#This Row],[Frequency (GHz)]],#N/A)</f>
        <v>#N/A</v>
      </c>
      <c r="B7" s="30" t="e">
        <f>IF(OR(Table1[[#This Row],[Type (TX, RX, TRX, Oscillator)]]="TX", Table1[[#This Row],[Type (TX, RX, TRX, Oscillator)]]="TX FE"),DATE(Table1[[#This Row],[Year ]],Table1[[#This Row],[Month]],1),#N/A)</f>
        <v>#N/A</v>
      </c>
      <c r="C7" s="1" t="e">
        <f>IF(OR(Table1[[#This Row],[Type (TX, RX, TRX, Oscillator)]]="TX",Table1[[#This Row],[Type (TX, RX, TRX, Oscillator)]]="TX FE"),Table1[[#This Row],[Total Number of Elements (TX + RX)]],#N/A)</f>
        <v>#N/A</v>
      </c>
      <c r="D7" s="1" t="e">
        <f t="shared" si="0"/>
        <v>#N/A</v>
      </c>
      <c r="E7" s="1" t="e">
        <f t="shared" si="1"/>
        <v>#N/A</v>
      </c>
      <c r="F7" s="1" t="e">
        <f t="shared" si="2"/>
        <v>#N/A</v>
      </c>
      <c r="G7" s="1" t="e">
        <f t="shared" si="3"/>
        <v>#N/A</v>
      </c>
      <c r="H7" s="1" t="e">
        <f t="shared" si="4"/>
        <v>#N/A</v>
      </c>
      <c r="I7" s="1" t="e">
        <f t="shared" si="5"/>
        <v>#N/A</v>
      </c>
      <c r="J7" s="1" t="e">
        <f t="shared" si="6"/>
        <v>#N/A</v>
      </c>
      <c r="L7" s="1" t="e">
        <f>IF(OR(Table1[[#This Row],[Type (TX, RX, TRX, Oscillator)]]="RX", Table1[[#This Row],[Type (TX, RX, TRX, Oscillator)]]="RX FE"),Table1[[#This Row],[Frequency (GHz)]],#N/A)</f>
        <v>#N/A</v>
      </c>
      <c r="M7" s="30" t="e">
        <f>IF(OR(Table1[[#This Row],[Type (TX, RX, TRX, Oscillator)]]="RX", Table1[[#This Row],[Type (TX, RX, TRX, Oscillator)]]="RX FE"),DATE(Table1[[#This Row],[Year ]],Table1[[#This Row],[Month]],1),#N/A)</f>
        <v>#N/A</v>
      </c>
      <c r="N7" s="1" t="e">
        <f>IF(OR(Table1[[#This Row],[Type (TX, RX, TRX, Oscillator)]]="RX", Table1[[#This Row],[Type (TX, RX, TRX, Oscillator)]]="RX FE"),Table1[[#This Row],[Total Number of Elements (TX + RX)]],#N/A)</f>
        <v>#N/A</v>
      </c>
      <c r="O7" s="1" t="e">
        <f t="shared" si="7"/>
        <v>#N/A</v>
      </c>
      <c r="P7" s="1" t="e">
        <f t="shared" si="8"/>
        <v>#N/A</v>
      </c>
      <c r="Q7" s="1" t="e">
        <f t="shared" si="9"/>
        <v>#N/A</v>
      </c>
      <c r="R7" s="1" t="e">
        <f t="shared" si="10"/>
        <v>#N/A</v>
      </c>
      <c r="S7" s="1" t="e">
        <f t="shared" si="11"/>
        <v>#N/A</v>
      </c>
      <c r="T7" s="1" t="e">
        <f t="shared" si="12"/>
        <v>#N/A</v>
      </c>
      <c r="U7" s="1" t="e">
        <f t="shared" si="13"/>
        <v>#N/A</v>
      </c>
      <c r="W7" s="1" t="e">
        <f>IF(OR(Table1[[#This Row],[Type (TX, RX, TRX, Oscillator)]]="TRX",Table1[[#This Row],[Type (TX, RX, TRX, Oscillator)]]="TRX FE"),Table1[[#This Row],[Frequency (GHz)]],#N/A)</f>
        <v>#N/A</v>
      </c>
      <c r="X7" s="30" t="e">
        <f>IF(OR(Table1[[#This Row],[Type (TX, RX, TRX, Oscillator)]]="TRX", Table1[[#This Row],[Type (TX, RX, TRX, Oscillator)]]="TRX FE"),DATE(Table1[[#This Row],[Year ]],Table1[[#This Row],[Month]],1),#N/A)</f>
        <v>#N/A</v>
      </c>
      <c r="Y7" s="1" t="e">
        <f>IF(OR(Table1[[#This Row],[Type (TX, RX, TRX, Oscillator)]]="TRX", Table1[[#This Row],[Type (TX, RX, TRX, Oscillator)]]="TRX FE"),Table1[[#This Row],[Total Number of Elements (TX + RX)]],#N/A)</f>
        <v>#N/A</v>
      </c>
      <c r="Z7" s="1" t="e">
        <f t="shared" si="14"/>
        <v>#N/A</v>
      </c>
      <c r="AA7" s="1" t="e">
        <f t="shared" si="15"/>
        <v>#N/A</v>
      </c>
      <c r="AB7" s="1" t="e">
        <f t="shared" si="16"/>
        <v>#N/A</v>
      </c>
      <c r="AC7" s="1" t="e">
        <f t="shared" si="17"/>
        <v>#N/A</v>
      </c>
      <c r="AD7" s="1" t="e">
        <f t="shared" si="18"/>
        <v>#N/A</v>
      </c>
      <c r="AE7" s="1" t="e">
        <f t="shared" si="19"/>
        <v>#N/A</v>
      </c>
      <c r="AF7" s="1" t="e">
        <f t="shared" si="20"/>
        <v>#N/A</v>
      </c>
      <c r="AH7" s="1" t="e">
        <f>IF(Table1[[#This Row],[Type (TX, RX, TRX, Oscillator)]]="Oscillator",Table1[[#This Row],[Frequency (GHz)]],#N/A)</f>
        <v>#N/A</v>
      </c>
      <c r="AI7" s="30" t="e">
        <f>IF(Table1[[#This Row],[Type (TX, RX, TRX, Oscillator)]]="Oscillator",DATE(Table1[[#This Row],[Year ]],Table1[[#This Row],[Month]],1),#N/A)</f>
        <v>#N/A</v>
      </c>
      <c r="AJ7" s="1" t="e">
        <f>IF(Table1[[#This Row],[Type (TX, RX, TRX, Oscillator)]]="Oscillator",Table1[[#This Row],[Total Number of Elements (TX + RX)]],#N/A)</f>
        <v>#N/A</v>
      </c>
      <c r="AK7" s="1" t="e">
        <f t="shared" si="21"/>
        <v>#N/A</v>
      </c>
      <c r="AL7" s="1" t="e">
        <f t="shared" si="22"/>
        <v>#N/A</v>
      </c>
      <c r="AM7" s="1" t="e">
        <f t="shared" si="23"/>
        <v>#N/A</v>
      </c>
      <c r="AN7" s="1" t="e">
        <f t="shared" si="24"/>
        <v>#N/A</v>
      </c>
      <c r="AO7" s="1" t="e">
        <f t="shared" si="25"/>
        <v>#N/A</v>
      </c>
      <c r="AP7" s="1" t="e">
        <f t="shared" si="26"/>
        <v>#N/A</v>
      </c>
      <c r="AQ7" s="1" t="e">
        <f t="shared" si="27"/>
        <v>#N/A</v>
      </c>
      <c r="AS7" s="1">
        <f>IF(Table1[[#This Row],[Type (TX, RX, TRX, Oscillator)]]="Relay",Table1[[#This Row],[Frequency (GHz)]],#N/A)</f>
        <v>24.4</v>
      </c>
      <c r="AT7" s="30">
        <f>IF(Table1[[#This Row],[Type (TX, RX, TRX, Oscillator)]]="Relay",DATE(Table1[[#This Row],[Year ]],Table1[[#This Row],[Month]],1),#N/A)</f>
        <v>41214</v>
      </c>
      <c r="AU7" s="1">
        <f>IF(Table1[[#This Row],[Type (TX, RX, TRX, Oscillator)]]="Relay",Table1[[#This Row],[Total Number of Elements (TX + RX)]],#N/A)</f>
        <v>0</v>
      </c>
      <c r="AV7" s="1" t="e">
        <f t="shared" si="28"/>
        <v>#N/A</v>
      </c>
      <c r="AW7" s="1">
        <f t="shared" si="29"/>
        <v>0</v>
      </c>
      <c r="AX7" s="1" t="e">
        <f t="shared" si="30"/>
        <v>#N/A</v>
      </c>
      <c r="AY7" s="1" t="e">
        <f t="shared" si="31"/>
        <v>#N/A</v>
      </c>
      <c r="AZ7" s="1" t="e">
        <f t="shared" si="32"/>
        <v>#N/A</v>
      </c>
      <c r="BA7" s="1" t="e">
        <f t="shared" si="33"/>
        <v>#N/A</v>
      </c>
      <c r="BB7" s="1" t="e">
        <f t="shared" si="34"/>
        <v>#N/A</v>
      </c>
    </row>
    <row r="8" spans="1:54" x14ac:dyDescent="0.2">
      <c r="A8" s="1" t="e">
        <f>IF(OR(Table1[[#This Row],[Type (TX, RX, TRX, Oscillator)]]="TX", Table1[[#This Row],[Type (TX, RX, TRX, Oscillator)]]="TX FE"),Table1[[#This Row],[Frequency (GHz)]],#N/A)</f>
        <v>#N/A</v>
      </c>
      <c r="B8" s="30" t="e">
        <f>IF(OR(Table1[[#This Row],[Type (TX, RX, TRX, Oscillator)]]="TX", Table1[[#This Row],[Type (TX, RX, TRX, Oscillator)]]="TX FE"),DATE(Table1[[#This Row],[Year ]],Table1[[#This Row],[Month]],1),#N/A)</f>
        <v>#N/A</v>
      </c>
      <c r="C8" s="1" t="e">
        <f>IF(OR(Table1[[#This Row],[Type (TX, RX, TRX, Oscillator)]]="TX",Table1[[#This Row],[Type (TX, RX, TRX, Oscillator)]]="TX FE"),Table1[[#This Row],[Total Number of Elements (TX + RX)]],#N/A)</f>
        <v>#N/A</v>
      </c>
      <c r="D8" s="1" t="e">
        <f t="shared" si="0"/>
        <v>#N/A</v>
      </c>
      <c r="E8" s="1" t="e">
        <f t="shared" si="1"/>
        <v>#N/A</v>
      </c>
      <c r="F8" s="1" t="e">
        <f t="shared" si="2"/>
        <v>#N/A</v>
      </c>
      <c r="G8" s="1" t="e">
        <f t="shared" si="3"/>
        <v>#N/A</v>
      </c>
      <c r="H8" s="1" t="e">
        <f t="shared" si="4"/>
        <v>#N/A</v>
      </c>
      <c r="I8" s="1" t="e">
        <f t="shared" si="5"/>
        <v>#N/A</v>
      </c>
      <c r="J8" s="1" t="e">
        <f t="shared" si="6"/>
        <v>#N/A</v>
      </c>
      <c r="L8" s="1" t="e">
        <f>IF(OR(Table1[[#This Row],[Type (TX, RX, TRX, Oscillator)]]="RX", Table1[[#This Row],[Type (TX, RX, TRX, Oscillator)]]="RX FE"),Table1[[#This Row],[Frequency (GHz)]],#N/A)</f>
        <v>#N/A</v>
      </c>
      <c r="M8" s="30" t="e">
        <f>IF(OR(Table1[[#This Row],[Type (TX, RX, TRX, Oscillator)]]="RX", Table1[[#This Row],[Type (TX, RX, TRX, Oscillator)]]="RX FE"),DATE(Table1[[#This Row],[Year ]],Table1[[#This Row],[Month]],1),#N/A)</f>
        <v>#N/A</v>
      </c>
      <c r="N8" s="1" t="e">
        <f>IF(OR(Table1[[#This Row],[Type (TX, RX, TRX, Oscillator)]]="RX", Table1[[#This Row],[Type (TX, RX, TRX, Oscillator)]]="RX FE"),Table1[[#This Row],[Total Number of Elements (TX + RX)]],#N/A)</f>
        <v>#N/A</v>
      </c>
      <c r="O8" s="1" t="e">
        <f t="shared" si="7"/>
        <v>#N/A</v>
      </c>
      <c r="P8" s="1" t="e">
        <f t="shared" si="8"/>
        <v>#N/A</v>
      </c>
      <c r="Q8" s="1" t="e">
        <f t="shared" si="9"/>
        <v>#N/A</v>
      </c>
      <c r="R8" s="1" t="e">
        <f t="shared" si="10"/>
        <v>#N/A</v>
      </c>
      <c r="S8" s="1" t="e">
        <f t="shared" si="11"/>
        <v>#N/A</v>
      </c>
      <c r="T8" s="1" t="e">
        <f t="shared" si="12"/>
        <v>#N/A</v>
      </c>
      <c r="U8" s="1" t="e">
        <f t="shared" si="13"/>
        <v>#N/A</v>
      </c>
      <c r="W8" s="1" t="e">
        <f>IF(OR(Table1[[#This Row],[Type (TX, RX, TRX, Oscillator)]]="TRX",Table1[[#This Row],[Type (TX, RX, TRX, Oscillator)]]="TRX FE"),Table1[[#This Row],[Frequency (GHz)]],#N/A)</f>
        <v>#N/A</v>
      </c>
      <c r="X8" s="30" t="e">
        <f>IF(OR(Table1[[#This Row],[Type (TX, RX, TRX, Oscillator)]]="TRX", Table1[[#This Row],[Type (TX, RX, TRX, Oscillator)]]="TRX FE"),DATE(Table1[[#This Row],[Year ]],Table1[[#This Row],[Month]],1),#N/A)</f>
        <v>#N/A</v>
      </c>
      <c r="Y8" s="1" t="e">
        <f>IF(OR(Table1[[#This Row],[Type (TX, RX, TRX, Oscillator)]]="TRX", Table1[[#This Row],[Type (TX, RX, TRX, Oscillator)]]="TRX FE"),Table1[[#This Row],[Total Number of Elements (TX + RX)]],#N/A)</f>
        <v>#N/A</v>
      </c>
      <c r="Z8" s="1" t="e">
        <f t="shared" si="14"/>
        <v>#N/A</v>
      </c>
      <c r="AA8" s="1" t="e">
        <f t="shared" si="15"/>
        <v>#N/A</v>
      </c>
      <c r="AB8" s="1" t="e">
        <f t="shared" si="16"/>
        <v>#N/A</v>
      </c>
      <c r="AC8" s="1" t="e">
        <f t="shared" si="17"/>
        <v>#N/A</v>
      </c>
      <c r="AD8" s="1" t="e">
        <f t="shared" si="18"/>
        <v>#N/A</v>
      </c>
      <c r="AE8" s="1" t="e">
        <f t="shared" si="19"/>
        <v>#N/A</v>
      </c>
      <c r="AF8" s="1" t="e">
        <f t="shared" si="20"/>
        <v>#N/A</v>
      </c>
      <c r="AH8" s="1" t="e">
        <f>IF(Table1[[#This Row],[Type (TX, RX, TRX, Oscillator)]]="Oscillator",Table1[[#This Row],[Frequency (GHz)]],#N/A)</f>
        <v>#N/A</v>
      </c>
      <c r="AI8" s="30" t="e">
        <f>IF(Table1[[#This Row],[Type (TX, RX, TRX, Oscillator)]]="Oscillator",DATE(Table1[[#This Row],[Year ]],Table1[[#This Row],[Month]],1),#N/A)</f>
        <v>#N/A</v>
      </c>
      <c r="AJ8" s="1" t="e">
        <f>IF(Table1[[#This Row],[Type (TX, RX, TRX, Oscillator)]]="Oscillator",Table1[[#This Row],[Total Number of Elements (TX + RX)]],#N/A)</f>
        <v>#N/A</v>
      </c>
      <c r="AK8" s="1" t="e">
        <f t="shared" si="21"/>
        <v>#N/A</v>
      </c>
      <c r="AL8" s="1" t="e">
        <f t="shared" si="22"/>
        <v>#N/A</v>
      </c>
      <c r="AM8" s="1" t="e">
        <f t="shared" si="23"/>
        <v>#N/A</v>
      </c>
      <c r="AN8" s="1" t="e">
        <f t="shared" si="24"/>
        <v>#N/A</v>
      </c>
      <c r="AO8" s="1" t="e">
        <f t="shared" si="25"/>
        <v>#N/A</v>
      </c>
      <c r="AP8" s="1" t="e">
        <f t="shared" si="26"/>
        <v>#N/A</v>
      </c>
      <c r="AQ8" s="1" t="e">
        <f t="shared" si="27"/>
        <v>#N/A</v>
      </c>
      <c r="AS8" s="1">
        <f>IF(Table1[[#This Row],[Type (TX, RX, TRX, Oscillator)]]="Relay",Table1[[#This Row],[Frequency (GHz)]],#N/A)</f>
        <v>35.5</v>
      </c>
      <c r="AT8" s="30">
        <f>IF(Table1[[#This Row],[Type (TX, RX, TRX, Oscillator)]]="Relay",DATE(Table1[[#This Row],[Year ]],Table1[[#This Row],[Month]],1),#N/A)</f>
        <v>41214</v>
      </c>
      <c r="AU8" s="1">
        <f>IF(Table1[[#This Row],[Type (TX, RX, TRX, Oscillator)]]="Relay",Table1[[#This Row],[Total Number of Elements (TX + RX)]],#N/A)</f>
        <v>0</v>
      </c>
      <c r="AV8" s="1" t="e">
        <f t="shared" si="28"/>
        <v>#N/A</v>
      </c>
      <c r="AW8" s="1">
        <f t="shared" si="29"/>
        <v>0</v>
      </c>
      <c r="AX8" s="1" t="e">
        <f t="shared" si="30"/>
        <v>#N/A</v>
      </c>
      <c r="AY8" s="1" t="e">
        <f t="shared" si="31"/>
        <v>#N/A</v>
      </c>
      <c r="AZ8" s="1" t="e">
        <f t="shared" si="32"/>
        <v>#N/A</v>
      </c>
      <c r="BA8" s="1" t="e">
        <f t="shared" si="33"/>
        <v>#N/A</v>
      </c>
      <c r="BB8" s="1" t="e">
        <f t="shared" si="34"/>
        <v>#N/A</v>
      </c>
    </row>
    <row r="9" spans="1:54" x14ac:dyDescent="0.2">
      <c r="A9" s="1" t="e">
        <f>IF(OR(Table1[[#This Row],[Type (TX, RX, TRX, Oscillator)]]="TX", Table1[[#This Row],[Type (TX, RX, TRX, Oscillator)]]="TX FE"),Table1[[#This Row],[Frequency (GHz)]],#N/A)</f>
        <v>#N/A</v>
      </c>
      <c r="B9" s="30" t="e">
        <f>IF(OR(Table1[[#This Row],[Type (TX, RX, TRX, Oscillator)]]="TX", Table1[[#This Row],[Type (TX, RX, TRX, Oscillator)]]="TX FE"),DATE(Table1[[#This Row],[Year ]],Table1[[#This Row],[Month]],1),#N/A)</f>
        <v>#N/A</v>
      </c>
      <c r="C9" s="1" t="e">
        <f>IF(OR(Table1[[#This Row],[Type (TX, RX, TRX, Oscillator)]]="TX",Table1[[#This Row],[Type (TX, RX, TRX, Oscillator)]]="TX FE"),Table1[[#This Row],[Total Number of Elements (TX + RX)]],#N/A)</f>
        <v>#N/A</v>
      </c>
      <c r="D9" s="1" t="e">
        <f t="shared" si="0"/>
        <v>#N/A</v>
      </c>
      <c r="E9" s="1" t="e">
        <f t="shared" si="1"/>
        <v>#N/A</v>
      </c>
      <c r="F9" s="1" t="e">
        <f t="shared" si="2"/>
        <v>#N/A</v>
      </c>
      <c r="G9" s="1" t="e">
        <f t="shared" si="3"/>
        <v>#N/A</v>
      </c>
      <c r="H9" s="1" t="e">
        <f t="shared" si="4"/>
        <v>#N/A</v>
      </c>
      <c r="I9" s="1" t="e">
        <f t="shared" si="5"/>
        <v>#N/A</v>
      </c>
      <c r="J9" s="1" t="e">
        <f t="shared" si="6"/>
        <v>#N/A</v>
      </c>
      <c r="L9" s="1" t="e">
        <f>IF(OR(Table1[[#This Row],[Type (TX, RX, TRX, Oscillator)]]="RX", Table1[[#This Row],[Type (TX, RX, TRX, Oscillator)]]="RX FE"),Table1[[#This Row],[Frequency (GHz)]],#N/A)</f>
        <v>#N/A</v>
      </c>
      <c r="M9" s="30" t="e">
        <f>IF(OR(Table1[[#This Row],[Type (TX, RX, TRX, Oscillator)]]="RX", Table1[[#This Row],[Type (TX, RX, TRX, Oscillator)]]="RX FE"),DATE(Table1[[#This Row],[Year ]],Table1[[#This Row],[Month]],1),#N/A)</f>
        <v>#N/A</v>
      </c>
      <c r="N9" s="1" t="e">
        <f>IF(OR(Table1[[#This Row],[Type (TX, RX, TRX, Oscillator)]]="RX", Table1[[#This Row],[Type (TX, RX, TRX, Oscillator)]]="RX FE"),Table1[[#This Row],[Total Number of Elements (TX + RX)]],#N/A)</f>
        <v>#N/A</v>
      </c>
      <c r="O9" s="1" t="e">
        <f t="shared" si="7"/>
        <v>#N/A</v>
      </c>
      <c r="P9" s="1" t="e">
        <f t="shared" si="8"/>
        <v>#N/A</v>
      </c>
      <c r="Q9" s="1" t="e">
        <f t="shared" si="9"/>
        <v>#N/A</v>
      </c>
      <c r="R9" s="1" t="e">
        <f t="shared" si="10"/>
        <v>#N/A</v>
      </c>
      <c r="S9" s="1" t="e">
        <f t="shared" si="11"/>
        <v>#N/A</v>
      </c>
      <c r="T9" s="1" t="e">
        <f t="shared" si="12"/>
        <v>#N/A</v>
      </c>
      <c r="U9" s="1" t="e">
        <f t="shared" si="13"/>
        <v>#N/A</v>
      </c>
      <c r="W9" s="1" t="e">
        <f>IF(OR(Table1[[#This Row],[Type (TX, RX, TRX, Oscillator)]]="TRX",Table1[[#This Row],[Type (TX, RX, TRX, Oscillator)]]="TRX FE"),Table1[[#This Row],[Frequency (GHz)]],#N/A)</f>
        <v>#N/A</v>
      </c>
      <c r="X9" s="30" t="e">
        <f>IF(OR(Table1[[#This Row],[Type (TX, RX, TRX, Oscillator)]]="TRX", Table1[[#This Row],[Type (TX, RX, TRX, Oscillator)]]="TRX FE"),DATE(Table1[[#This Row],[Year ]],Table1[[#This Row],[Month]],1),#N/A)</f>
        <v>#N/A</v>
      </c>
      <c r="Y9" s="1" t="e">
        <f>IF(OR(Table1[[#This Row],[Type (TX, RX, TRX, Oscillator)]]="TRX", Table1[[#This Row],[Type (TX, RX, TRX, Oscillator)]]="TRX FE"),Table1[[#This Row],[Total Number of Elements (TX + RX)]],#N/A)</f>
        <v>#N/A</v>
      </c>
      <c r="Z9" s="1" t="e">
        <f t="shared" si="14"/>
        <v>#N/A</v>
      </c>
      <c r="AA9" s="1" t="e">
        <f t="shared" si="15"/>
        <v>#N/A</v>
      </c>
      <c r="AB9" s="1" t="e">
        <f t="shared" si="16"/>
        <v>#N/A</v>
      </c>
      <c r="AC9" s="1" t="e">
        <f t="shared" si="17"/>
        <v>#N/A</v>
      </c>
      <c r="AD9" s="1" t="e">
        <f t="shared" si="18"/>
        <v>#N/A</v>
      </c>
      <c r="AE9" s="1" t="e">
        <f t="shared" si="19"/>
        <v>#N/A</v>
      </c>
      <c r="AF9" s="1" t="e">
        <f t="shared" si="20"/>
        <v>#N/A</v>
      </c>
      <c r="AH9" s="1" t="e">
        <f>IF(Table1[[#This Row],[Type (TX, RX, TRX, Oscillator)]]="Oscillator",Table1[[#This Row],[Frequency (GHz)]],#N/A)</f>
        <v>#N/A</v>
      </c>
      <c r="AI9" s="30" t="e">
        <f>IF(Table1[[#This Row],[Type (TX, RX, TRX, Oscillator)]]="Oscillator",DATE(Table1[[#This Row],[Year ]],Table1[[#This Row],[Month]],1),#N/A)</f>
        <v>#N/A</v>
      </c>
      <c r="AJ9" s="1" t="e">
        <f>IF(Table1[[#This Row],[Type (TX, RX, TRX, Oscillator)]]="Oscillator",Table1[[#This Row],[Total Number of Elements (TX + RX)]],#N/A)</f>
        <v>#N/A</v>
      </c>
      <c r="AK9" s="1" t="e">
        <f t="shared" si="21"/>
        <v>#N/A</v>
      </c>
      <c r="AL9" s="1" t="e">
        <f t="shared" si="22"/>
        <v>#N/A</v>
      </c>
      <c r="AM9" s="1" t="e">
        <f t="shared" si="23"/>
        <v>#N/A</v>
      </c>
      <c r="AN9" s="1" t="e">
        <f t="shared" si="24"/>
        <v>#N/A</v>
      </c>
      <c r="AO9" s="1" t="e">
        <f t="shared" si="25"/>
        <v>#N/A</v>
      </c>
      <c r="AP9" s="1" t="e">
        <f t="shared" si="26"/>
        <v>#N/A</v>
      </c>
      <c r="AQ9" s="1" t="e">
        <f t="shared" si="27"/>
        <v>#N/A</v>
      </c>
      <c r="AS9" s="1">
        <f>IF(Table1[[#This Row],[Type (TX, RX, TRX, Oscillator)]]="Relay",Table1[[#This Row],[Frequency (GHz)]],#N/A)</f>
        <v>10.1</v>
      </c>
      <c r="AT9" s="30">
        <f>IF(Table1[[#This Row],[Type (TX, RX, TRX, Oscillator)]]="Relay",DATE(Table1[[#This Row],[Year ]],Table1[[#This Row],[Month]],1),#N/A)</f>
        <v>41244</v>
      </c>
      <c r="AU9" s="1">
        <f>IF(Table1[[#This Row],[Type (TX, RX, TRX, Oscillator)]]="Relay",Table1[[#This Row],[Total Number of Elements (TX + RX)]],#N/A)</f>
        <v>0</v>
      </c>
      <c r="AV9" s="1">
        <f t="shared" si="28"/>
        <v>0</v>
      </c>
      <c r="AW9" s="1" t="e">
        <f t="shared" si="29"/>
        <v>#N/A</v>
      </c>
      <c r="AX9" s="1" t="e">
        <f t="shared" si="30"/>
        <v>#N/A</v>
      </c>
      <c r="AY9" s="1" t="e">
        <f t="shared" si="31"/>
        <v>#N/A</v>
      </c>
      <c r="AZ9" s="1" t="e">
        <f t="shared" si="32"/>
        <v>#N/A</v>
      </c>
      <c r="BA9" s="1" t="e">
        <f t="shared" si="33"/>
        <v>#N/A</v>
      </c>
      <c r="BB9" s="1" t="e">
        <f t="shared" si="34"/>
        <v>#N/A</v>
      </c>
    </row>
    <row r="10" spans="1:54" x14ac:dyDescent="0.2">
      <c r="A10" s="1" t="e">
        <f>IF(OR(Table1[[#This Row],[Type (TX, RX, TRX, Oscillator)]]="TX", Table1[[#This Row],[Type (TX, RX, TRX, Oscillator)]]="TX FE"),Table1[[#This Row],[Frequency (GHz)]],#N/A)</f>
        <v>#N/A</v>
      </c>
      <c r="B10" s="30" t="e">
        <f>IF(OR(Table1[[#This Row],[Type (TX, RX, TRX, Oscillator)]]="TX", Table1[[#This Row],[Type (TX, RX, TRX, Oscillator)]]="TX FE"),DATE(Table1[[#This Row],[Year ]],Table1[[#This Row],[Month]],1),#N/A)</f>
        <v>#N/A</v>
      </c>
      <c r="C10" s="1" t="e">
        <f>IF(OR(Table1[[#This Row],[Type (TX, RX, TRX, Oscillator)]]="TX",Table1[[#This Row],[Type (TX, RX, TRX, Oscillator)]]="TX FE"),Table1[[#This Row],[Total Number of Elements (TX + RX)]],#N/A)</f>
        <v>#N/A</v>
      </c>
      <c r="D10" s="1" t="e">
        <f t="shared" si="0"/>
        <v>#N/A</v>
      </c>
      <c r="E10" s="1" t="e">
        <f t="shared" si="1"/>
        <v>#N/A</v>
      </c>
      <c r="F10" s="1" t="e">
        <f t="shared" si="2"/>
        <v>#N/A</v>
      </c>
      <c r="G10" s="1" t="e">
        <f t="shared" si="3"/>
        <v>#N/A</v>
      </c>
      <c r="H10" s="1" t="e">
        <f t="shared" si="4"/>
        <v>#N/A</v>
      </c>
      <c r="I10" s="1" t="e">
        <f t="shared" si="5"/>
        <v>#N/A</v>
      </c>
      <c r="J10" s="1" t="e">
        <f t="shared" si="6"/>
        <v>#N/A</v>
      </c>
      <c r="L10" s="1" t="e">
        <f>IF(OR(Table1[[#This Row],[Type (TX, RX, TRX, Oscillator)]]="RX", Table1[[#This Row],[Type (TX, RX, TRX, Oscillator)]]="RX FE"),Table1[[#This Row],[Frequency (GHz)]],#N/A)</f>
        <v>#N/A</v>
      </c>
      <c r="M10" s="30" t="e">
        <f>IF(OR(Table1[[#This Row],[Type (TX, RX, TRX, Oscillator)]]="RX", Table1[[#This Row],[Type (TX, RX, TRX, Oscillator)]]="RX FE"),DATE(Table1[[#This Row],[Year ]],Table1[[#This Row],[Month]],1),#N/A)</f>
        <v>#N/A</v>
      </c>
      <c r="N10" s="1" t="e">
        <f>IF(OR(Table1[[#This Row],[Type (TX, RX, TRX, Oscillator)]]="RX", Table1[[#This Row],[Type (TX, RX, TRX, Oscillator)]]="RX FE"),Table1[[#This Row],[Total Number of Elements (TX + RX)]],#N/A)</f>
        <v>#N/A</v>
      </c>
      <c r="O10" s="1" t="e">
        <f t="shared" si="7"/>
        <v>#N/A</v>
      </c>
      <c r="P10" s="1" t="e">
        <f t="shared" si="8"/>
        <v>#N/A</v>
      </c>
      <c r="Q10" s="1" t="e">
        <f t="shared" si="9"/>
        <v>#N/A</v>
      </c>
      <c r="R10" s="1" t="e">
        <f t="shared" si="10"/>
        <v>#N/A</v>
      </c>
      <c r="S10" s="1" t="e">
        <f t="shared" si="11"/>
        <v>#N/A</v>
      </c>
      <c r="T10" s="1" t="e">
        <f t="shared" si="12"/>
        <v>#N/A</v>
      </c>
      <c r="U10" s="1" t="e">
        <f t="shared" si="13"/>
        <v>#N/A</v>
      </c>
      <c r="W10" s="1">
        <f>IF(OR(Table1[[#This Row],[Type (TX, RX, TRX, Oscillator)]]="TRX",Table1[[#This Row],[Type (TX, RX, TRX, Oscillator)]]="TRX FE"),Table1[[#This Row],[Frequency (GHz)]],#N/A)</f>
        <v>60</v>
      </c>
      <c r="X10" s="30">
        <f>IF(OR(Table1[[#This Row],[Type (TX, RX, TRX, Oscillator)]]="TRX", Table1[[#This Row],[Type (TX, RX, TRX, Oscillator)]]="TRX FE"),DATE(Table1[[#This Row],[Year ]],Table1[[#This Row],[Month]],1),#N/A)</f>
        <v>41334</v>
      </c>
      <c r="Y10" s="1">
        <f>IF(OR(Table1[[#This Row],[Type (TX, RX, TRX, Oscillator)]]="TRX", Table1[[#This Row],[Type (TX, RX, TRX, Oscillator)]]="TRX FE"),Table1[[#This Row],[Total Number of Elements (TX + RX)]],#N/A)</f>
        <v>64</v>
      </c>
      <c r="Z10" s="1" t="e">
        <f t="shared" si="14"/>
        <v>#N/A</v>
      </c>
      <c r="AA10" s="1" t="e">
        <f t="shared" si="15"/>
        <v>#N/A</v>
      </c>
      <c r="AB10" s="1">
        <f t="shared" si="16"/>
        <v>64</v>
      </c>
      <c r="AC10" s="1" t="e">
        <f t="shared" si="17"/>
        <v>#N/A</v>
      </c>
      <c r="AD10" s="1" t="e">
        <f t="shared" si="18"/>
        <v>#N/A</v>
      </c>
      <c r="AE10" s="1" t="e">
        <f t="shared" si="19"/>
        <v>#N/A</v>
      </c>
      <c r="AF10" s="1" t="e">
        <f t="shared" si="20"/>
        <v>#N/A</v>
      </c>
      <c r="AH10" s="1" t="e">
        <f>IF(Table1[[#This Row],[Type (TX, RX, TRX, Oscillator)]]="Oscillator",Table1[[#This Row],[Frequency (GHz)]],#N/A)</f>
        <v>#N/A</v>
      </c>
      <c r="AI10" s="30" t="e">
        <f>IF(Table1[[#This Row],[Type (TX, RX, TRX, Oscillator)]]="Oscillator",DATE(Table1[[#This Row],[Year ]],Table1[[#This Row],[Month]],1),#N/A)</f>
        <v>#N/A</v>
      </c>
      <c r="AJ10" s="1" t="e">
        <f>IF(Table1[[#This Row],[Type (TX, RX, TRX, Oscillator)]]="Oscillator",Table1[[#This Row],[Total Number of Elements (TX + RX)]],#N/A)</f>
        <v>#N/A</v>
      </c>
      <c r="AK10" s="1" t="e">
        <f t="shared" si="21"/>
        <v>#N/A</v>
      </c>
      <c r="AL10" s="1" t="e">
        <f t="shared" si="22"/>
        <v>#N/A</v>
      </c>
      <c r="AM10" s="1" t="e">
        <f t="shared" si="23"/>
        <v>#N/A</v>
      </c>
      <c r="AN10" s="1" t="e">
        <f t="shared" si="24"/>
        <v>#N/A</v>
      </c>
      <c r="AO10" s="1" t="e">
        <f t="shared" si="25"/>
        <v>#N/A</v>
      </c>
      <c r="AP10" s="1" t="e">
        <f t="shared" si="26"/>
        <v>#N/A</v>
      </c>
      <c r="AQ10" s="1" t="e">
        <f t="shared" si="27"/>
        <v>#N/A</v>
      </c>
      <c r="AS10" s="1" t="e">
        <f>IF(Table1[[#This Row],[Type (TX, RX, TRX, Oscillator)]]="Relay",Table1[[#This Row],[Frequency (GHz)]],#N/A)</f>
        <v>#N/A</v>
      </c>
      <c r="AT10" s="30" t="e">
        <f>IF(Table1[[#This Row],[Type (TX, RX, TRX, Oscillator)]]="Relay",DATE(Table1[[#This Row],[Year ]],Table1[[#This Row],[Month]],1),#N/A)</f>
        <v>#N/A</v>
      </c>
      <c r="AU10" s="1" t="e">
        <f>IF(Table1[[#This Row],[Type (TX, RX, TRX, Oscillator)]]="Relay",Table1[[#This Row],[Total Number of Elements (TX + RX)]],#N/A)</f>
        <v>#N/A</v>
      </c>
      <c r="AV10" s="1" t="e">
        <f t="shared" si="28"/>
        <v>#N/A</v>
      </c>
      <c r="AW10" s="1" t="e">
        <f t="shared" si="29"/>
        <v>#N/A</v>
      </c>
      <c r="AX10" s="1" t="e">
        <f t="shared" si="30"/>
        <v>#N/A</v>
      </c>
      <c r="AY10" s="1" t="e">
        <f t="shared" si="31"/>
        <v>#N/A</v>
      </c>
      <c r="AZ10" s="1" t="e">
        <f t="shared" si="32"/>
        <v>#N/A</v>
      </c>
      <c r="BA10" s="1" t="e">
        <f t="shared" si="33"/>
        <v>#N/A</v>
      </c>
      <c r="BB10" s="1" t="e">
        <f t="shared" si="34"/>
        <v>#N/A</v>
      </c>
    </row>
    <row r="11" spans="1:54" x14ac:dyDescent="0.2">
      <c r="A11" s="1" t="e">
        <f>IF(OR(Table1[[#This Row],[Type (TX, RX, TRX, Oscillator)]]="TX", Table1[[#This Row],[Type (TX, RX, TRX, Oscillator)]]="TX FE"),Table1[[#This Row],[Frequency (GHz)]],#N/A)</f>
        <v>#N/A</v>
      </c>
      <c r="B11" s="30" t="e">
        <f>IF(OR(Table1[[#This Row],[Type (TX, RX, TRX, Oscillator)]]="TX", Table1[[#This Row],[Type (TX, RX, TRX, Oscillator)]]="TX FE"),DATE(Table1[[#This Row],[Year ]],Table1[[#This Row],[Month]],1),#N/A)</f>
        <v>#N/A</v>
      </c>
      <c r="C11" s="1" t="e">
        <f>IF(OR(Table1[[#This Row],[Type (TX, RX, TRX, Oscillator)]]="TX",Table1[[#This Row],[Type (TX, RX, TRX, Oscillator)]]="TX FE"),Table1[[#This Row],[Total Number of Elements (TX + RX)]],#N/A)</f>
        <v>#N/A</v>
      </c>
      <c r="D11" s="1" t="e">
        <f t="shared" si="0"/>
        <v>#N/A</v>
      </c>
      <c r="E11" s="1" t="e">
        <f t="shared" si="1"/>
        <v>#N/A</v>
      </c>
      <c r="F11" s="1" t="e">
        <f t="shared" si="2"/>
        <v>#N/A</v>
      </c>
      <c r="G11" s="1" t="e">
        <f t="shared" si="3"/>
        <v>#N/A</v>
      </c>
      <c r="H11" s="1" t="e">
        <f t="shared" si="4"/>
        <v>#N/A</v>
      </c>
      <c r="I11" s="1" t="e">
        <f t="shared" si="5"/>
        <v>#N/A</v>
      </c>
      <c r="J11" s="1" t="e">
        <f t="shared" si="6"/>
        <v>#N/A</v>
      </c>
      <c r="L11" s="1" t="e">
        <f>IF(OR(Table1[[#This Row],[Type (TX, RX, TRX, Oscillator)]]="RX", Table1[[#This Row],[Type (TX, RX, TRX, Oscillator)]]="RX FE"),Table1[[#This Row],[Frequency (GHz)]],#N/A)</f>
        <v>#N/A</v>
      </c>
      <c r="M11" s="30" t="e">
        <f>IF(OR(Table1[[#This Row],[Type (TX, RX, TRX, Oscillator)]]="RX", Table1[[#This Row],[Type (TX, RX, TRX, Oscillator)]]="RX FE"),DATE(Table1[[#This Row],[Year ]],Table1[[#This Row],[Month]],1),#N/A)</f>
        <v>#N/A</v>
      </c>
      <c r="N11" s="1" t="e">
        <f>IF(OR(Table1[[#This Row],[Type (TX, RX, TRX, Oscillator)]]="RX", Table1[[#This Row],[Type (TX, RX, TRX, Oscillator)]]="RX FE"),Table1[[#This Row],[Total Number of Elements (TX + RX)]],#N/A)</f>
        <v>#N/A</v>
      </c>
      <c r="O11" s="1" t="e">
        <f t="shared" si="7"/>
        <v>#N/A</v>
      </c>
      <c r="P11" s="1" t="e">
        <f t="shared" si="8"/>
        <v>#N/A</v>
      </c>
      <c r="Q11" s="1" t="e">
        <f t="shared" si="9"/>
        <v>#N/A</v>
      </c>
      <c r="R11" s="1" t="e">
        <f t="shared" si="10"/>
        <v>#N/A</v>
      </c>
      <c r="S11" s="1" t="e">
        <f t="shared" si="11"/>
        <v>#N/A</v>
      </c>
      <c r="T11" s="1" t="e">
        <f t="shared" si="12"/>
        <v>#N/A</v>
      </c>
      <c r="U11" s="1" t="e">
        <f t="shared" si="13"/>
        <v>#N/A</v>
      </c>
      <c r="W11" s="1">
        <f>IF(OR(Table1[[#This Row],[Type (TX, RX, TRX, Oscillator)]]="TRX",Table1[[#This Row],[Type (TX, RX, TRX, Oscillator)]]="TRX FE"),Table1[[#This Row],[Frequency (GHz)]],#N/A)</f>
        <v>92</v>
      </c>
      <c r="X11" s="30">
        <f>IF(OR(Table1[[#This Row],[Type (TX, RX, TRX, Oscillator)]]="TRX", Table1[[#This Row],[Type (TX, RX, TRX, Oscillator)]]="TRX FE"),DATE(Table1[[#This Row],[Year ]],Table1[[#This Row],[Month]],1),#N/A)</f>
        <v>41426</v>
      </c>
      <c r="Y11" s="1">
        <f>IF(OR(Table1[[#This Row],[Type (TX, RX, TRX, Oscillator)]]="TRX", Table1[[#This Row],[Type (TX, RX, TRX, Oscillator)]]="TRX FE"),Table1[[#This Row],[Total Number of Elements (TX + RX)]],#N/A)</f>
        <v>128</v>
      </c>
      <c r="Z11" s="1" t="e">
        <f t="shared" si="14"/>
        <v>#N/A</v>
      </c>
      <c r="AA11" s="1" t="e">
        <f t="shared" si="15"/>
        <v>#N/A</v>
      </c>
      <c r="AB11" s="1" t="e">
        <f t="shared" si="16"/>
        <v>#N/A</v>
      </c>
      <c r="AC11" s="1">
        <f t="shared" si="17"/>
        <v>128</v>
      </c>
      <c r="AD11" s="1" t="e">
        <f t="shared" si="18"/>
        <v>#N/A</v>
      </c>
      <c r="AE11" s="1" t="e">
        <f t="shared" si="19"/>
        <v>#N/A</v>
      </c>
      <c r="AF11" s="1" t="e">
        <f t="shared" si="20"/>
        <v>#N/A</v>
      </c>
      <c r="AH11" s="1" t="e">
        <f>IF(Table1[[#This Row],[Type (TX, RX, TRX, Oscillator)]]="Oscillator",Table1[[#This Row],[Frequency (GHz)]],#N/A)</f>
        <v>#N/A</v>
      </c>
      <c r="AI11" s="30" t="e">
        <f>IF(Table1[[#This Row],[Type (TX, RX, TRX, Oscillator)]]="Oscillator",DATE(Table1[[#This Row],[Year ]],Table1[[#This Row],[Month]],1),#N/A)</f>
        <v>#N/A</v>
      </c>
      <c r="AJ11" s="1" t="e">
        <f>IF(Table1[[#This Row],[Type (TX, RX, TRX, Oscillator)]]="Oscillator",Table1[[#This Row],[Total Number of Elements (TX + RX)]],#N/A)</f>
        <v>#N/A</v>
      </c>
      <c r="AK11" s="1" t="e">
        <f t="shared" si="21"/>
        <v>#N/A</v>
      </c>
      <c r="AL11" s="1" t="e">
        <f t="shared" si="22"/>
        <v>#N/A</v>
      </c>
      <c r="AM11" s="1" t="e">
        <f t="shared" si="23"/>
        <v>#N/A</v>
      </c>
      <c r="AN11" s="1" t="e">
        <f t="shared" si="24"/>
        <v>#N/A</v>
      </c>
      <c r="AO11" s="1" t="e">
        <f t="shared" si="25"/>
        <v>#N/A</v>
      </c>
      <c r="AP11" s="1" t="e">
        <f t="shared" si="26"/>
        <v>#N/A</v>
      </c>
      <c r="AQ11" s="1" t="e">
        <f t="shared" si="27"/>
        <v>#N/A</v>
      </c>
      <c r="AS11" s="1" t="e">
        <f>IF(Table1[[#This Row],[Type (TX, RX, TRX, Oscillator)]]="Relay",Table1[[#This Row],[Frequency (GHz)]],#N/A)</f>
        <v>#N/A</v>
      </c>
      <c r="AT11" s="30" t="e">
        <f>IF(Table1[[#This Row],[Type (TX, RX, TRX, Oscillator)]]="Relay",DATE(Table1[[#This Row],[Year ]],Table1[[#This Row],[Month]],1),#N/A)</f>
        <v>#N/A</v>
      </c>
      <c r="AU11" s="1" t="e">
        <f>IF(Table1[[#This Row],[Type (TX, RX, TRX, Oscillator)]]="Relay",Table1[[#This Row],[Total Number of Elements (TX + RX)]],#N/A)</f>
        <v>#N/A</v>
      </c>
      <c r="AV11" s="1" t="e">
        <f t="shared" si="28"/>
        <v>#N/A</v>
      </c>
      <c r="AW11" s="1" t="e">
        <f t="shared" si="29"/>
        <v>#N/A</v>
      </c>
      <c r="AX11" s="1" t="e">
        <f t="shared" si="30"/>
        <v>#N/A</v>
      </c>
      <c r="AY11" s="1" t="e">
        <f t="shared" si="31"/>
        <v>#N/A</v>
      </c>
      <c r="AZ11" s="1" t="e">
        <f t="shared" si="32"/>
        <v>#N/A</v>
      </c>
      <c r="BA11" s="1" t="e">
        <f t="shared" si="33"/>
        <v>#N/A</v>
      </c>
      <c r="BB11" s="1" t="e">
        <f t="shared" si="34"/>
        <v>#N/A</v>
      </c>
    </row>
    <row r="12" spans="1:54" x14ac:dyDescent="0.2">
      <c r="A12" s="1" t="e">
        <f>IF(OR(Table1[[#This Row],[Type (TX, RX, TRX, Oscillator)]]="TX", Table1[[#This Row],[Type (TX, RX, TRX, Oscillator)]]="TX FE"),Table1[[#This Row],[Frequency (GHz)]],#N/A)</f>
        <v>#N/A</v>
      </c>
      <c r="B12" s="30" t="e">
        <f>IF(OR(Table1[[#This Row],[Type (TX, RX, TRX, Oscillator)]]="TX", Table1[[#This Row],[Type (TX, RX, TRX, Oscillator)]]="TX FE"),DATE(Table1[[#This Row],[Year ]],Table1[[#This Row],[Month]],1),#N/A)</f>
        <v>#N/A</v>
      </c>
      <c r="C12" s="1" t="e">
        <f>IF(OR(Table1[[#This Row],[Type (TX, RX, TRX, Oscillator)]]="TX",Table1[[#This Row],[Type (TX, RX, TRX, Oscillator)]]="TX FE"),Table1[[#This Row],[Total Number of Elements (TX + RX)]],#N/A)</f>
        <v>#N/A</v>
      </c>
      <c r="D12" s="1" t="e">
        <f t="shared" si="0"/>
        <v>#N/A</v>
      </c>
      <c r="E12" s="1" t="e">
        <f t="shared" si="1"/>
        <v>#N/A</v>
      </c>
      <c r="F12" s="1" t="e">
        <f t="shared" si="2"/>
        <v>#N/A</v>
      </c>
      <c r="G12" s="1" t="e">
        <f t="shared" si="3"/>
        <v>#N/A</v>
      </c>
      <c r="H12" s="1" t="e">
        <f t="shared" si="4"/>
        <v>#N/A</v>
      </c>
      <c r="I12" s="1" t="e">
        <f t="shared" si="5"/>
        <v>#N/A</v>
      </c>
      <c r="J12" s="1" t="e">
        <f t="shared" si="6"/>
        <v>#N/A</v>
      </c>
      <c r="L12" s="1" t="e">
        <f>IF(OR(Table1[[#This Row],[Type (TX, RX, TRX, Oscillator)]]="RX", Table1[[#This Row],[Type (TX, RX, TRX, Oscillator)]]="RX FE"),Table1[[#This Row],[Frequency (GHz)]],#N/A)</f>
        <v>#N/A</v>
      </c>
      <c r="M12" s="30" t="e">
        <f>IF(OR(Table1[[#This Row],[Type (TX, RX, TRX, Oscillator)]]="RX", Table1[[#This Row],[Type (TX, RX, TRX, Oscillator)]]="RX FE"),DATE(Table1[[#This Row],[Year ]],Table1[[#This Row],[Month]],1),#N/A)</f>
        <v>#N/A</v>
      </c>
      <c r="N12" s="1" t="e">
        <f>IF(OR(Table1[[#This Row],[Type (TX, RX, TRX, Oscillator)]]="RX", Table1[[#This Row],[Type (TX, RX, TRX, Oscillator)]]="RX FE"),Table1[[#This Row],[Total Number of Elements (TX + RX)]],#N/A)</f>
        <v>#N/A</v>
      </c>
      <c r="O12" s="1" t="e">
        <f t="shared" si="7"/>
        <v>#N/A</v>
      </c>
      <c r="P12" s="1" t="e">
        <f t="shared" si="8"/>
        <v>#N/A</v>
      </c>
      <c r="Q12" s="1" t="e">
        <f t="shared" si="9"/>
        <v>#N/A</v>
      </c>
      <c r="R12" s="1" t="e">
        <f t="shared" si="10"/>
        <v>#N/A</v>
      </c>
      <c r="S12" s="1" t="e">
        <f t="shared" si="11"/>
        <v>#N/A</v>
      </c>
      <c r="T12" s="1" t="e">
        <f t="shared" si="12"/>
        <v>#N/A</v>
      </c>
      <c r="U12" s="1" t="e">
        <f t="shared" si="13"/>
        <v>#N/A</v>
      </c>
      <c r="W12" s="1">
        <f>IF(OR(Table1[[#This Row],[Type (TX, RX, TRX, Oscillator)]]="TRX",Table1[[#This Row],[Type (TX, RX, TRX, Oscillator)]]="TRX FE"),Table1[[#This Row],[Frequency (GHz)]],#N/A)</f>
        <v>97</v>
      </c>
      <c r="X12" s="30">
        <f>IF(OR(Table1[[#This Row],[Type (TX, RX, TRX, Oscillator)]]="TRX", Table1[[#This Row],[Type (TX, RX, TRX, Oscillator)]]="TRX FE"),DATE(Table1[[#This Row],[Year ]],Table1[[#This Row],[Month]],1),#N/A)</f>
        <v>41456</v>
      </c>
      <c r="Y12" s="1">
        <f>IF(OR(Table1[[#This Row],[Type (TX, RX, TRX, Oscillator)]]="TRX", Table1[[#This Row],[Type (TX, RX, TRX, Oscillator)]]="TRX FE"),Table1[[#This Row],[Total Number of Elements (TX + RX)]],#N/A)</f>
        <v>32</v>
      </c>
      <c r="Z12" s="1" t="e">
        <f t="shared" si="14"/>
        <v>#N/A</v>
      </c>
      <c r="AA12" s="1" t="e">
        <f t="shared" si="15"/>
        <v>#N/A</v>
      </c>
      <c r="AB12" s="1" t="e">
        <f t="shared" si="16"/>
        <v>#N/A</v>
      </c>
      <c r="AC12" s="1">
        <f t="shared" si="17"/>
        <v>32</v>
      </c>
      <c r="AD12" s="1" t="e">
        <f t="shared" si="18"/>
        <v>#N/A</v>
      </c>
      <c r="AE12" s="1" t="e">
        <f t="shared" si="19"/>
        <v>#N/A</v>
      </c>
      <c r="AF12" s="1" t="e">
        <f t="shared" si="20"/>
        <v>#N/A</v>
      </c>
      <c r="AH12" s="1" t="e">
        <f>IF(Table1[[#This Row],[Type (TX, RX, TRX, Oscillator)]]="Oscillator",Table1[[#This Row],[Frequency (GHz)]],#N/A)</f>
        <v>#N/A</v>
      </c>
      <c r="AI12" s="30" t="e">
        <f>IF(Table1[[#This Row],[Type (TX, RX, TRX, Oscillator)]]="Oscillator",DATE(Table1[[#This Row],[Year ]],Table1[[#This Row],[Month]],1),#N/A)</f>
        <v>#N/A</v>
      </c>
      <c r="AJ12" s="1" t="e">
        <f>IF(Table1[[#This Row],[Type (TX, RX, TRX, Oscillator)]]="Oscillator",Table1[[#This Row],[Total Number of Elements (TX + RX)]],#N/A)</f>
        <v>#N/A</v>
      </c>
      <c r="AK12" s="1" t="e">
        <f t="shared" si="21"/>
        <v>#N/A</v>
      </c>
      <c r="AL12" s="1" t="e">
        <f t="shared" si="22"/>
        <v>#N/A</v>
      </c>
      <c r="AM12" s="1" t="e">
        <f t="shared" si="23"/>
        <v>#N/A</v>
      </c>
      <c r="AN12" s="1" t="e">
        <f t="shared" si="24"/>
        <v>#N/A</v>
      </c>
      <c r="AO12" s="1" t="e">
        <f t="shared" si="25"/>
        <v>#N/A</v>
      </c>
      <c r="AP12" s="1" t="e">
        <f t="shared" si="26"/>
        <v>#N/A</v>
      </c>
      <c r="AQ12" s="1" t="e">
        <f t="shared" si="27"/>
        <v>#N/A</v>
      </c>
      <c r="AS12" s="1" t="e">
        <f>IF(Table1[[#This Row],[Type (TX, RX, TRX, Oscillator)]]="Relay",Table1[[#This Row],[Frequency (GHz)]],#N/A)</f>
        <v>#N/A</v>
      </c>
      <c r="AT12" s="30" t="e">
        <f>IF(Table1[[#This Row],[Type (TX, RX, TRX, Oscillator)]]="Relay",DATE(Table1[[#This Row],[Year ]],Table1[[#This Row],[Month]],1),#N/A)</f>
        <v>#N/A</v>
      </c>
      <c r="AU12" s="1" t="e">
        <f>IF(Table1[[#This Row],[Type (TX, RX, TRX, Oscillator)]]="Relay",Table1[[#This Row],[Total Number of Elements (TX + RX)]],#N/A)</f>
        <v>#N/A</v>
      </c>
      <c r="AV12" s="1" t="e">
        <f t="shared" si="28"/>
        <v>#N/A</v>
      </c>
      <c r="AW12" s="1" t="e">
        <f t="shared" si="29"/>
        <v>#N/A</v>
      </c>
      <c r="AX12" s="1" t="e">
        <f t="shared" si="30"/>
        <v>#N/A</v>
      </c>
      <c r="AY12" s="1" t="e">
        <f t="shared" si="31"/>
        <v>#N/A</v>
      </c>
      <c r="AZ12" s="1" t="e">
        <f t="shared" si="32"/>
        <v>#N/A</v>
      </c>
      <c r="BA12" s="1" t="e">
        <f t="shared" si="33"/>
        <v>#N/A</v>
      </c>
      <c r="BB12" s="1" t="e">
        <f t="shared" si="34"/>
        <v>#N/A</v>
      </c>
    </row>
    <row r="13" spans="1:54" x14ac:dyDescent="0.2">
      <c r="A13" s="1" t="e">
        <f>IF(OR(Table1[[#This Row],[Type (TX, RX, TRX, Oscillator)]]="TX", Table1[[#This Row],[Type (TX, RX, TRX, Oscillator)]]="TX FE"),Table1[[#This Row],[Frequency (GHz)]],#N/A)</f>
        <v>#N/A</v>
      </c>
      <c r="B13" s="30" t="e">
        <f>IF(OR(Table1[[#This Row],[Type (TX, RX, TRX, Oscillator)]]="TX", Table1[[#This Row],[Type (TX, RX, TRX, Oscillator)]]="TX FE"),DATE(Table1[[#This Row],[Year ]],Table1[[#This Row],[Month]],1),#N/A)</f>
        <v>#N/A</v>
      </c>
      <c r="C13" s="1" t="e">
        <f>IF(OR(Table1[[#This Row],[Type (TX, RX, TRX, Oscillator)]]="TX",Table1[[#This Row],[Type (TX, RX, TRX, Oscillator)]]="TX FE"),Table1[[#This Row],[Total Number of Elements (TX + RX)]],#N/A)</f>
        <v>#N/A</v>
      </c>
      <c r="D13" s="1" t="e">
        <f t="shared" si="0"/>
        <v>#N/A</v>
      </c>
      <c r="E13" s="1" t="e">
        <f t="shared" si="1"/>
        <v>#N/A</v>
      </c>
      <c r="F13" s="1" t="e">
        <f t="shared" si="2"/>
        <v>#N/A</v>
      </c>
      <c r="G13" s="1" t="e">
        <f t="shared" si="3"/>
        <v>#N/A</v>
      </c>
      <c r="H13" s="1" t="e">
        <f t="shared" si="4"/>
        <v>#N/A</v>
      </c>
      <c r="I13" s="1" t="e">
        <f t="shared" si="5"/>
        <v>#N/A</v>
      </c>
      <c r="J13" s="1" t="e">
        <f t="shared" si="6"/>
        <v>#N/A</v>
      </c>
      <c r="L13" s="1" t="e">
        <f>IF(OR(Table1[[#This Row],[Type (TX, RX, TRX, Oscillator)]]="RX", Table1[[#This Row],[Type (TX, RX, TRX, Oscillator)]]="RX FE"),Table1[[#This Row],[Frequency (GHz)]],#N/A)</f>
        <v>#N/A</v>
      </c>
      <c r="M13" s="30" t="e">
        <f>IF(OR(Table1[[#This Row],[Type (TX, RX, TRX, Oscillator)]]="RX", Table1[[#This Row],[Type (TX, RX, TRX, Oscillator)]]="RX FE"),DATE(Table1[[#This Row],[Year ]],Table1[[#This Row],[Month]],1),#N/A)</f>
        <v>#N/A</v>
      </c>
      <c r="N13" s="1" t="e">
        <f>IF(OR(Table1[[#This Row],[Type (TX, RX, TRX, Oscillator)]]="RX", Table1[[#This Row],[Type (TX, RX, TRX, Oscillator)]]="RX FE"),Table1[[#This Row],[Total Number of Elements (TX + RX)]],#N/A)</f>
        <v>#N/A</v>
      </c>
      <c r="O13" s="1" t="e">
        <f t="shared" si="7"/>
        <v>#N/A</v>
      </c>
      <c r="P13" s="1" t="e">
        <f t="shared" si="8"/>
        <v>#N/A</v>
      </c>
      <c r="Q13" s="1" t="e">
        <f t="shared" si="9"/>
        <v>#N/A</v>
      </c>
      <c r="R13" s="1" t="e">
        <f t="shared" si="10"/>
        <v>#N/A</v>
      </c>
      <c r="S13" s="1" t="e">
        <f t="shared" si="11"/>
        <v>#N/A</v>
      </c>
      <c r="T13" s="1" t="e">
        <f t="shared" si="12"/>
        <v>#N/A</v>
      </c>
      <c r="U13" s="1" t="e">
        <f t="shared" si="13"/>
        <v>#N/A</v>
      </c>
      <c r="W13" s="1" t="e">
        <f>IF(OR(Table1[[#This Row],[Type (TX, RX, TRX, Oscillator)]]="TRX",Table1[[#This Row],[Type (TX, RX, TRX, Oscillator)]]="TRX FE"),Table1[[#This Row],[Frequency (GHz)]],#N/A)</f>
        <v>#N/A</v>
      </c>
      <c r="X13" s="30" t="e">
        <f>IF(OR(Table1[[#This Row],[Type (TX, RX, TRX, Oscillator)]]="TRX", Table1[[#This Row],[Type (TX, RX, TRX, Oscillator)]]="TRX FE"),DATE(Table1[[#This Row],[Year ]],Table1[[#This Row],[Month]],1),#N/A)</f>
        <v>#N/A</v>
      </c>
      <c r="Y13" s="1" t="e">
        <f>IF(OR(Table1[[#This Row],[Type (TX, RX, TRX, Oscillator)]]="TRX", Table1[[#This Row],[Type (TX, RX, TRX, Oscillator)]]="TRX FE"),Table1[[#This Row],[Total Number of Elements (TX + RX)]],#N/A)</f>
        <v>#N/A</v>
      </c>
      <c r="Z13" s="1" t="e">
        <f t="shared" si="14"/>
        <v>#N/A</v>
      </c>
      <c r="AA13" s="1" t="e">
        <f t="shared" si="15"/>
        <v>#N/A</v>
      </c>
      <c r="AB13" s="1" t="e">
        <f t="shared" si="16"/>
        <v>#N/A</v>
      </c>
      <c r="AC13" s="1" t="e">
        <f t="shared" si="17"/>
        <v>#N/A</v>
      </c>
      <c r="AD13" s="1" t="e">
        <f t="shared" si="18"/>
        <v>#N/A</v>
      </c>
      <c r="AE13" s="1" t="e">
        <f t="shared" si="19"/>
        <v>#N/A</v>
      </c>
      <c r="AF13" s="1" t="e">
        <f t="shared" si="20"/>
        <v>#N/A</v>
      </c>
      <c r="AH13" s="1" t="e">
        <f>IF(Table1[[#This Row],[Type (TX, RX, TRX, Oscillator)]]="Oscillator",Table1[[#This Row],[Frequency (GHz)]],#N/A)</f>
        <v>#N/A</v>
      </c>
      <c r="AI13" s="30" t="e">
        <f>IF(Table1[[#This Row],[Type (TX, RX, TRX, Oscillator)]]="Oscillator",DATE(Table1[[#This Row],[Year ]],Table1[[#This Row],[Month]],1),#N/A)</f>
        <v>#N/A</v>
      </c>
      <c r="AJ13" s="1" t="e">
        <f>IF(Table1[[#This Row],[Type (TX, RX, TRX, Oscillator)]]="Oscillator",Table1[[#This Row],[Total Number of Elements (TX + RX)]],#N/A)</f>
        <v>#N/A</v>
      </c>
      <c r="AK13" s="1" t="e">
        <f t="shared" si="21"/>
        <v>#N/A</v>
      </c>
      <c r="AL13" s="1" t="e">
        <f t="shared" si="22"/>
        <v>#N/A</v>
      </c>
      <c r="AM13" s="1" t="e">
        <f t="shared" si="23"/>
        <v>#N/A</v>
      </c>
      <c r="AN13" s="1" t="e">
        <f t="shared" si="24"/>
        <v>#N/A</v>
      </c>
      <c r="AO13" s="1" t="e">
        <f t="shared" si="25"/>
        <v>#N/A</v>
      </c>
      <c r="AP13" s="1" t="e">
        <f t="shared" si="26"/>
        <v>#N/A</v>
      </c>
      <c r="AQ13" s="1" t="e">
        <f t="shared" si="27"/>
        <v>#N/A</v>
      </c>
      <c r="AS13" s="1">
        <f>IF(Table1[[#This Row],[Type (TX, RX, TRX, Oscillator)]]="Relay",Table1[[#This Row],[Frequency (GHz)]],#N/A)</f>
        <v>32</v>
      </c>
      <c r="AT13" s="30">
        <f>IF(Table1[[#This Row],[Type (TX, RX, TRX, Oscillator)]]="Relay",DATE(Table1[[#This Row],[Year ]],Table1[[#This Row],[Month]],1),#N/A)</f>
        <v>41671</v>
      </c>
      <c r="AU13" s="1">
        <f>IF(Table1[[#This Row],[Type (TX, RX, TRX, Oscillator)]]="Relay",Table1[[#This Row],[Total Number of Elements (TX + RX)]],#N/A)</f>
        <v>0</v>
      </c>
      <c r="AV13" s="1" t="e">
        <f t="shared" si="28"/>
        <v>#N/A</v>
      </c>
      <c r="AW13" s="1">
        <f t="shared" si="29"/>
        <v>0</v>
      </c>
      <c r="AX13" s="1" t="e">
        <f t="shared" si="30"/>
        <v>#N/A</v>
      </c>
      <c r="AY13" s="1" t="e">
        <f t="shared" si="31"/>
        <v>#N/A</v>
      </c>
      <c r="AZ13" s="1" t="e">
        <f t="shared" si="32"/>
        <v>#N/A</v>
      </c>
      <c r="BA13" s="1" t="e">
        <f t="shared" si="33"/>
        <v>#N/A</v>
      </c>
      <c r="BB13" s="1" t="e">
        <f t="shared" si="34"/>
        <v>#N/A</v>
      </c>
    </row>
    <row r="14" spans="1:54" x14ac:dyDescent="0.2">
      <c r="A14" s="1" t="e">
        <f>IF(OR(Table1[[#This Row],[Type (TX, RX, TRX, Oscillator)]]="TX", Table1[[#This Row],[Type (TX, RX, TRX, Oscillator)]]="TX FE"),Table1[[#This Row],[Frequency (GHz)]],#N/A)</f>
        <v>#N/A</v>
      </c>
      <c r="B14" s="30" t="e">
        <f>IF(OR(Table1[[#This Row],[Type (TX, RX, TRX, Oscillator)]]="TX", Table1[[#This Row],[Type (TX, RX, TRX, Oscillator)]]="TX FE"),DATE(Table1[[#This Row],[Year ]],Table1[[#This Row],[Month]],1),#N/A)</f>
        <v>#N/A</v>
      </c>
      <c r="C14" s="1" t="e">
        <f>IF(OR(Table1[[#This Row],[Type (TX, RX, TRX, Oscillator)]]="TX",Table1[[#This Row],[Type (TX, RX, TRX, Oscillator)]]="TX FE"),Table1[[#This Row],[Total Number of Elements (TX + RX)]],#N/A)</f>
        <v>#N/A</v>
      </c>
      <c r="D14" s="1" t="e">
        <f t="shared" si="0"/>
        <v>#N/A</v>
      </c>
      <c r="E14" s="1" t="e">
        <f t="shared" si="1"/>
        <v>#N/A</v>
      </c>
      <c r="F14" s="1" t="e">
        <f t="shared" si="2"/>
        <v>#N/A</v>
      </c>
      <c r="G14" s="1" t="e">
        <f t="shared" si="3"/>
        <v>#N/A</v>
      </c>
      <c r="H14" s="1" t="e">
        <f t="shared" si="4"/>
        <v>#N/A</v>
      </c>
      <c r="I14" s="1" t="e">
        <f t="shared" si="5"/>
        <v>#N/A</v>
      </c>
      <c r="J14" s="1" t="e">
        <f t="shared" si="6"/>
        <v>#N/A</v>
      </c>
      <c r="L14" s="1" t="e">
        <f>IF(OR(Table1[[#This Row],[Type (TX, RX, TRX, Oscillator)]]="RX", Table1[[#This Row],[Type (TX, RX, TRX, Oscillator)]]="RX FE"),Table1[[#This Row],[Frequency (GHz)]],#N/A)</f>
        <v>#N/A</v>
      </c>
      <c r="M14" s="30" t="e">
        <f>IF(OR(Table1[[#This Row],[Type (TX, RX, TRX, Oscillator)]]="RX", Table1[[#This Row],[Type (TX, RX, TRX, Oscillator)]]="RX FE"),DATE(Table1[[#This Row],[Year ]],Table1[[#This Row],[Month]],1),#N/A)</f>
        <v>#N/A</v>
      </c>
      <c r="N14" s="1" t="e">
        <f>IF(OR(Table1[[#This Row],[Type (TX, RX, TRX, Oscillator)]]="RX", Table1[[#This Row],[Type (TX, RX, TRX, Oscillator)]]="RX FE"),Table1[[#This Row],[Total Number of Elements (TX + RX)]],#N/A)</f>
        <v>#N/A</v>
      </c>
      <c r="O14" s="1" t="e">
        <f t="shared" si="7"/>
        <v>#N/A</v>
      </c>
      <c r="P14" s="1" t="e">
        <f t="shared" si="8"/>
        <v>#N/A</v>
      </c>
      <c r="Q14" s="1" t="e">
        <f t="shared" si="9"/>
        <v>#N/A</v>
      </c>
      <c r="R14" s="1" t="e">
        <f t="shared" si="10"/>
        <v>#N/A</v>
      </c>
      <c r="S14" s="1" t="e">
        <f t="shared" si="11"/>
        <v>#N/A</v>
      </c>
      <c r="T14" s="1" t="e">
        <f t="shared" si="12"/>
        <v>#N/A</v>
      </c>
      <c r="U14" s="1" t="e">
        <f t="shared" si="13"/>
        <v>#N/A</v>
      </c>
      <c r="W14" s="1" t="e">
        <f>IF(OR(Table1[[#This Row],[Type (TX, RX, TRX, Oscillator)]]="TRX",Table1[[#This Row],[Type (TX, RX, TRX, Oscillator)]]="TRX FE"),Table1[[#This Row],[Frequency (GHz)]],#N/A)</f>
        <v>#N/A</v>
      </c>
      <c r="X14" s="30" t="e">
        <f>IF(OR(Table1[[#This Row],[Type (TX, RX, TRX, Oscillator)]]="TRX", Table1[[#This Row],[Type (TX, RX, TRX, Oscillator)]]="TRX FE"),DATE(Table1[[#This Row],[Year ]],Table1[[#This Row],[Month]],1),#N/A)</f>
        <v>#N/A</v>
      </c>
      <c r="Y14" s="1" t="e">
        <f>IF(OR(Table1[[#This Row],[Type (TX, RX, TRX, Oscillator)]]="TRX", Table1[[#This Row],[Type (TX, RX, TRX, Oscillator)]]="TRX FE"),Table1[[#This Row],[Total Number of Elements (TX + RX)]],#N/A)</f>
        <v>#N/A</v>
      </c>
      <c r="Z14" s="1" t="e">
        <f t="shared" si="14"/>
        <v>#N/A</v>
      </c>
      <c r="AA14" s="1" t="e">
        <f t="shared" si="15"/>
        <v>#N/A</v>
      </c>
      <c r="AB14" s="1" t="e">
        <f t="shared" si="16"/>
        <v>#N/A</v>
      </c>
      <c r="AC14" s="1" t="e">
        <f t="shared" si="17"/>
        <v>#N/A</v>
      </c>
      <c r="AD14" s="1" t="e">
        <f t="shared" si="18"/>
        <v>#N/A</v>
      </c>
      <c r="AE14" s="1" t="e">
        <f t="shared" si="19"/>
        <v>#N/A</v>
      </c>
      <c r="AF14" s="1" t="e">
        <f t="shared" si="20"/>
        <v>#N/A</v>
      </c>
      <c r="AH14" s="1">
        <f>IF(Table1[[#This Row],[Type (TX, RX, TRX, Oscillator)]]="Oscillator",Table1[[#This Row],[Frequency (GHz)]],#N/A)</f>
        <v>338</v>
      </c>
      <c r="AI14" s="30">
        <f>IF(Table1[[#This Row],[Type (TX, RX, TRX, Oscillator)]]="Oscillator",DATE(Table1[[#This Row],[Year ]],Table1[[#This Row],[Month]],1),#N/A)</f>
        <v>41671</v>
      </c>
      <c r="AJ14" s="1">
        <f>IF(Table1[[#This Row],[Type (TX, RX, TRX, Oscillator)]]="Oscillator",Table1[[#This Row],[Total Number of Elements (TX + RX)]],#N/A)</f>
        <v>16</v>
      </c>
      <c r="AK14" s="1" t="e">
        <f t="shared" si="21"/>
        <v>#N/A</v>
      </c>
      <c r="AL14" s="1" t="e">
        <f t="shared" si="22"/>
        <v>#N/A</v>
      </c>
      <c r="AM14" s="1" t="e">
        <f t="shared" si="23"/>
        <v>#N/A</v>
      </c>
      <c r="AN14" s="1" t="e">
        <f t="shared" si="24"/>
        <v>#N/A</v>
      </c>
      <c r="AO14" s="1" t="e">
        <f t="shared" si="25"/>
        <v>#N/A</v>
      </c>
      <c r="AP14" s="1" t="e">
        <f t="shared" si="26"/>
        <v>#N/A</v>
      </c>
      <c r="AQ14" s="1">
        <f t="shared" si="27"/>
        <v>16</v>
      </c>
      <c r="AS14" s="1" t="e">
        <f>IF(Table1[[#This Row],[Type (TX, RX, TRX, Oscillator)]]="Relay",Table1[[#This Row],[Frequency (GHz)]],#N/A)</f>
        <v>#N/A</v>
      </c>
      <c r="AT14" s="30" t="e">
        <f>IF(Table1[[#This Row],[Type (TX, RX, TRX, Oscillator)]]="Relay",DATE(Table1[[#This Row],[Year ]],Table1[[#This Row],[Month]],1),#N/A)</f>
        <v>#N/A</v>
      </c>
      <c r="AU14" s="1" t="e">
        <f>IF(Table1[[#This Row],[Type (TX, RX, TRX, Oscillator)]]="Relay",Table1[[#This Row],[Total Number of Elements (TX + RX)]],#N/A)</f>
        <v>#N/A</v>
      </c>
      <c r="AV14" s="1" t="e">
        <f t="shared" si="28"/>
        <v>#N/A</v>
      </c>
      <c r="AW14" s="1" t="e">
        <f t="shared" si="29"/>
        <v>#N/A</v>
      </c>
      <c r="AX14" s="1" t="e">
        <f t="shared" si="30"/>
        <v>#N/A</v>
      </c>
      <c r="AY14" s="1" t="e">
        <f t="shared" si="31"/>
        <v>#N/A</v>
      </c>
      <c r="AZ14" s="1" t="e">
        <f t="shared" si="32"/>
        <v>#N/A</v>
      </c>
      <c r="BA14" s="1" t="e">
        <f t="shared" si="33"/>
        <v>#N/A</v>
      </c>
      <c r="BB14" s="1" t="e">
        <f t="shared" si="34"/>
        <v>#N/A</v>
      </c>
    </row>
    <row r="15" spans="1:54" x14ac:dyDescent="0.2">
      <c r="A15" s="1" t="e">
        <f>IF(OR(Table1[[#This Row],[Type (TX, RX, TRX, Oscillator)]]="TX", Table1[[#This Row],[Type (TX, RX, TRX, Oscillator)]]="TX FE"),Table1[[#This Row],[Frequency (GHz)]],#N/A)</f>
        <v>#N/A</v>
      </c>
      <c r="B15" s="30" t="e">
        <f>IF(OR(Table1[[#This Row],[Type (TX, RX, TRX, Oscillator)]]="TX", Table1[[#This Row],[Type (TX, RX, TRX, Oscillator)]]="TX FE"),DATE(Table1[[#This Row],[Year ]],Table1[[#This Row],[Month]],1),#N/A)</f>
        <v>#N/A</v>
      </c>
      <c r="C15" s="1" t="e">
        <f>IF(OR(Table1[[#This Row],[Type (TX, RX, TRX, Oscillator)]]="TX",Table1[[#This Row],[Type (TX, RX, TRX, Oscillator)]]="TX FE"),Table1[[#This Row],[Total Number of Elements (TX + RX)]],#N/A)</f>
        <v>#N/A</v>
      </c>
      <c r="D15" s="1" t="e">
        <f t="shared" si="0"/>
        <v>#N/A</v>
      </c>
      <c r="E15" s="1" t="e">
        <f t="shared" si="1"/>
        <v>#N/A</v>
      </c>
      <c r="F15" s="1" t="e">
        <f t="shared" si="2"/>
        <v>#N/A</v>
      </c>
      <c r="G15" s="1" t="e">
        <f t="shared" si="3"/>
        <v>#N/A</v>
      </c>
      <c r="H15" s="1" t="e">
        <f t="shared" si="4"/>
        <v>#N/A</v>
      </c>
      <c r="I15" s="1" t="e">
        <f t="shared" si="5"/>
        <v>#N/A</v>
      </c>
      <c r="J15" s="1" t="e">
        <f t="shared" si="6"/>
        <v>#N/A</v>
      </c>
      <c r="L15" s="1" t="e">
        <f>IF(OR(Table1[[#This Row],[Type (TX, RX, TRX, Oscillator)]]="RX", Table1[[#This Row],[Type (TX, RX, TRX, Oscillator)]]="RX FE"),Table1[[#This Row],[Frequency (GHz)]],#N/A)</f>
        <v>#N/A</v>
      </c>
      <c r="M15" s="30" t="e">
        <f>IF(OR(Table1[[#This Row],[Type (TX, RX, TRX, Oscillator)]]="RX", Table1[[#This Row],[Type (TX, RX, TRX, Oscillator)]]="RX FE"),DATE(Table1[[#This Row],[Year ]],Table1[[#This Row],[Month]],1),#N/A)</f>
        <v>#N/A</v>
      </c>
      <c r="N15" s="1" t="e">
        <f>IF(OR(Table1[[#This Row],[Type (TX, RX, TRX, Oscillator)]]="RX", Table1[[#This Row],[Type (TX, RX, TRX, Oscillator)]]="RX FE"),Table1[[#This Row],[Total Number of Elements (TX + RX)]],#N/A)</f>
        <v>#N/A</v>
      </c>
      <c r="O15" s="1" t="e">
        <f t="shared" si="7"/>
        <v>#N/A</v>
      </c>
      <c r="P15" s="1" t="e">
        <f t="shared" si="8"/>
        <v>#N/A</v>
      </c>
      <c r="Q15" s="1" t="e">
        <f t="shared" si="9"/>
        <v>#N/A</v>
      </c>
      <c r="R15" s="1" t="e">
        <f t="shared" si="10"/>
        <v>#N/A</v>
      </c>
      <c r="S15" s="1" t="e">
        <f t="shared" si="11"/>
        <v>#N/A</v>
      </c>
      <c r="T15" s="1" t="e">
        <f t="shared" si="12"/>
        <v>#N/A</v>
      </c>
      <c r="U15" s="1" t="e">
        <f t="shared" si="13"/>
        <v>#N/A</v>
      </c>
      <c r="W15" s="1">
        <f>IF(OR(Table1[[#This Row],[Type (TX, RX, TRX, Oscillator)]]="TRX",Table1[[#This Row],[Type (TX, RX, TRX, Oscillator)]]="TRX FE"),Table1[[#This Row],[Frequency (GHz)]],#N/A)</f>
        <v>60</v>
      </c>
      <c r="X15" s="30">
        <f>IF(OR(Table1[[#This Row],[Type (TX, RX, TRX, Oscillator)]]="TRX", Table1[[#This Row],[Type (TX, RX, TRX, Oscillator)]]="TRX FE"),DATE(Table1[[#This Row],[Year ]],Table1[[#This Row],[Month]],1),#N/A)</f>
        <v>41974</v>
      </c>
      <c r="Y15" s="1">
        <f>IF(OR(Table1[[#This Row],[Type (TX, RX, TRX, Oscillator)]]="TRX", Table1[[#This Row],[Type (TX, RX, TRX, Oscillator)]]="TRX FE"),Table1[[#This Row],[Total Number of Elements (TX + RX)]],#N/A)</f>
        <v>32</v>
      </c>
      <c r="Z15" s="1" t="e">
        <f t="shared" si="14"/>
        <v>#N/A</v>
      </c>
      <c r="AA15" s="1" t="e">
        <f t="shared" si="15"/>
        <v>#N/A</v>
      </c>
      <c r="AB15" s="1">
        <f t="shared" si="16"/>
        <v>32</v>
      </c>
      <c r="AC15" s="1" t="e">
        <f t="shared" si="17"/>
        <v>#N/A</v>
      </c>
      <c r="AD15" s="1" t="e">
        <f t="shared" si="18"/>
        <v>#N/A</v>
      </c>
      <c r="AE15" s="1" t="e">
        <f t="shared" si="19"/>
        <v>#N/A</v>
      </c>
      <c r="AF15" s="1" t="e">
        <f t="shared" si="20"/>
        <v>#N/A</v>
      </c>
      <c r="AH15" s="1" t="e">
        <f>IF(Table1[[#This Row],[Type (TX, RX, TRX, Oscillator)]]="Oscillator",Table1[[#This Row],[Frequency (GHz)]],#N/A)</f>
        <v>#N/A</v>
      </c>
      <c r="AI15" s="30" t="e">
        <f>IF(Table1[[#This Row],[Type (TX, RX, TRX, Oscillator)]]="Oscillator",DATE(Table1[[#This Row],[Year ]],Table1[[#This Row],[Month]],1),#N/A)</f>
        <v>#N/A</v>
      </c>
      <c r="AJ15" s="1" t="e">
        <f>IF(Table1[[#This Row],[Type (TX, RX, TRX, Oscillator)]]="Oscillator",Table1[[#This Row],[Total Number of Elements (TX + RX)]],#N/A)</f>
        <v>#N/A</v>
      </c>
      <c r="AK15" s="1" t="e">
        <f t="shared" si="21"/>
        <v>#N/A</v>
      </c>
      <c r="AL15" s="1" t="e">
        <f t="shared" si="22"/>
        <v>#N/A</v>
      </c>
      <c r="AM15" s="1" t="e">
        <f t="shared" si="23"/>
        <v>#N/A</v>
      </c>
      <c r="AN15" s="1" t="e">
        <f t="shared" si="24"/>
        <v>#N/A</v>
      </c>
      <c r="AO15" s="1" t="e">
        <f t="shared" si="25"/>
        <v>#N/A</v>
      </c>
      <c r="AP15" s="1" t="e">
        <f t="shared" si="26"/>
        <v>#N/A</v>
      </c>
      <c r="AQ15" s="1" t="e">
        <f t="shared" si="27"/>
        <v>#N/A</v>
      </c>
      <c r="AS15" s="1" t="e">
        <f>IF(Table1[[#This Row],[Type (TX, RX, TRX, Oscillator)]]="Relay",Table1[[#This Row],[Frequency (GHz)]],#N/A)</f>
        <v>#N/A</v>
      </c>
      <c r="AT15" s="30" t="e">
        <f>IF(Table1[[#This Row],[Type (TX, RX, TRX, Oscillator)]]="Relay",DATE(Table1[[#This Row],[Year ]],Table1[[#This Row],[Month]],1),#N/A)</f>
        <v>#N/A</v>
      </c>
      <c r="AU15" s="1" t="e">
        <f>IF(Table1[[#This Row],[Type (TX, RX, TRX, Oscillator)]]="Relay",Table1[[#This Row],[Total Number of Elements (TX + RX)]],#N/A)</f>
        <v>#N/A</v>
      </c>
      <c r="AV15" s="1" t="e">
        <f t="shared" si="28"/>
        <v>#N/A</v>
      </c>
      <c r="AW15" s="1" t="e">
        <f t="shared" si="29"/>
        <v>#N/A</v>
      </c>
      <c r="AX15" s="1" t="e">
        <f t="shared" si="30"/>
        <v>#N/A</v>
      </c>
      <c r="AY15" s="1" t="e">
        <f t="shared" si="31"/>
        <v>#N/A</v>
      </c>
      <c r="AZ15" s="1" t="e">
        <f t="shared" si="32"/>
        <v>#N/A</v>
      </c>
      <c r="BA15" s="1" t="e">
        <f t="shared" si="33"/>
        <v>#N/A</v>
      </c>
      <c r="BB15" s="1" t="e">
        <f t="shared" si="34"/>
        <v>#N/A</v>
      </c>
    </row>
    <row r="16" spans="1:54" x14ac:dyDescent="0.2">
      <c r="A16" s="1" t="e">
        <f>IF(OR(Table1[[#This Row],[Type (TX, RX, TRX, Oscillator)]]="TX", Table1[[#This Row],[Type (TX, RX, TRX, Oscillator)]]="TX FE"),Table1[[#This Row],[Frequency (GHz)]],#N/A)</f>
        <v>#N/A</v>
      </c>
      <c r="B16" s="30" t="e">
        <f>IF(OR(Table1[[#This Row],[Type (TX, RX, TRX, Oscillator)]]="TX", Table1[[#This Row],[Type (TX, RX, TRX, Oscillator)]]="TX FE"),DATE(Table1[[#This Row],[Year ]],Table1[[#This Row],[Month]],1),#N/A)</f>
        <v>#N/A</v>
      </c>
      <c r="C16" s="1" t="e">
        <f>IF(OR(Table1[[#This Row],[Type (TX, RX, TRX, Oscillator)]]="TX",Table1[[#This Row],[Type (TX, RX, TRX, Oscillator)]]="TX FE"),Table1[[#This Row],[Total Number of Elements (TX + RX)]],#N/A)</f>
        <v>#N/A</v>
      </c>
      <c r="D16" s="1" t="e">
        <f t="shared" si="0"/>
        <v>#N/A</v>
      </c>
      <c r="E16" s="1" t="e">
        <f t="shared" si="1"/>
        <v>#N/A</v>
      </c>
      <c r="F16" s="1" t="e">
        <f t="shared" si="2"/>
        <v>#N/A</v>
      </c>
      <c r="G16" s="1" t="e">
        <f t="shared" si="3"/>
        <v>#N/A</v>
      </c>
      <c r="H16" s="1" t="e">
        <f t="shared" si="4"/>
        <v>#N/A</v>
      </c>
      <c r="I16" s="1" t="e">
        <f t="shared" si="5"/>
        <v>#N/A</v>
      </c>
      <c r="J16" s="1" t="e">
        <f t="shared" si="6"/>
        <v>#N/A</v>
      </c>
      <c r="L16" s="1" t="e">
        <f>IF(OR(Table1[[#This Row],[Type (TX, RX, TRX, Oscillator)]]="RX", Table1[[#This Row],[Type (TX, RX, TRX, Oscillator)]]="RX FE"),Table1[[#This Row],[Frequency (GHz)]],#N/A)</f>
        <v>#N/A</v>
      </c>
      <c r="M16" s="30" t="e">
        <f>IF(OR(Table1[[#This Row],[Type (TX, RX, TRX, Oscillator)]]="RX", Table1[[#This Row],[Type (TX, RX, TRX, Oscillator)]]="RX FE"),DATE(Table1[[#This Row],[Year ]],Table1[[#This Row],[Month]],1),#N/A)</f>
        <v>#N/A</v>
      </c>
      <c r="N16" s="1" t="e">
        <f>IF(OR(Table1[[#This Row],[Type (TX, RX, TRX, Oscillator)]]="RX", Table1[[#This Row],[Type (TX, RX, TRX, Oscillator)]]="RX FE"),Table1[[#This Row],[Total Number of Elements (TX + RX)]],#N/A)</f>
        <v>#N/A</v>
      </c>
      <c r="O16" s="1" t="e">
        <f t="shared" si="7"/>
        <v>#N/A</v>
      </c>
      <c r="P16" s="1" t="e">
        <f t="shared" si="8"/>
        <v>#N/A</v>
      </c>
      <c r="Q16" s="1" t="e">
        <f t="shared" si="9"/>
        <v>#N/A</v>
      </c>
      <c r="R16" s="1" t="e">
        <f t="shared" si="10"/>
        <v>#N/A</v>
      </c>
      <c r="S16" s="1" t="e">
        <f t="shared" si="11"/>
        <v>#N/A</v>
      </c>
      <c r="T16" s="1" t="e">
        <f t="shared" si="12"/>
        <v>#N/A</v>
      </c>
      <c r="U16" s="1" t="e">
        <f t="shared" si="13"/>
        <v>#N/A</v>
      </c>
      <c r="W16" s="1">
        <f>IF(OR(Table1[[#This Row],[Type (TX, RX, TRX, Oscillator)]]="TRX",Table1[[#This Row],[Type (TX, RX, TRX, Oscillator)]]="TRX FE"),Table1[[#This Row],[Frequency (GHz)]],#N/A)</f>
        <v>70</v>
      </c>
      <c r="X16" s="30">
        <f>IF(OR(Table1[[#This Row],[Type (TX, RX, TRX, Oscillator)]]="TRX", Table1[[#This Row],[Type (TX, RX, TRX, Oscillator)]]="TRX FE"),DATE(Table1[[#This Row],[Year ]],Table1[[#This Row],[Month]],1),#N/A)</f>
        <v>42125</v>
      </c>
      <c r="Y16" s="1">
        <f>IF(OR(Table1[[#This Row],[Type (TX, RX, TRX, Oscillator)]]="TRX", Table1[[#This Row],[Type (TX, RX, TRX, Oscillator)]]="TRX FE"),Table1[[#This Row],[Total Number of Elements (TX + RX)]],#N/A)</f>
        <v>20</v>
      </c>
      <c r="Z16" s="1" t="e">
        <f t="shared" si="14"/>
        <v>#N/A</v>
      </c>
      <c r="AA16" s="1" t="e">
        <f t="shared" si="15"/>
        <v>#N/A</v>
      </c>
      <c r="AB16" s="1">
        <f t="shared" si="16"/>
        <v>20</v>
      </c>
      <c r="AC16" s="1" t="e">
        <f t="shared" si="17"/>
        <v>#N/A</v>
      </c>
      <c r="AD16" s="1" t="e">
        <f t="shared" si="18"/>
        <v>#N/A</v>
      </c>
      <c r="AE16" s="1" t="e">
        <f t="shared" si="19"/>
        <v>#N/A</v>
      </c>
      <c r="AF16" s="1" t="e">
        <f t="shared" si="20"/>
        <v>#N/A</v>
      </c>
      <c r="AH16" s="1" t="e">
        <f>IF(Table1[[#This Row],[Type (TX, RX, TRX, Oscillator)]]="Oscillator",Table1[[#This Row],[Frequency (GHz)]],#N/A)</f>
        <v>#N/A</v>
      </c>
      <c r="AI16" s="30" t="e">
        <f>IF(Table1[[#This Row],[Type (TX, RX, TRX, Oscillator)]]="Oscillator",DATE(Table1[[#This Row],[Year ]],Table1[[#This Row],[Month]],1),#N/A)</f>
        <v>#N/A</v>
      </c>
      <c r="AJ16" s="1" t="e">
        <f>IF(Table1[[#This Row],[Type (TX, RX, TRX, Oscillator)]]="Oscillator",Table1[[#This Row],[Total Number of Elements (TX + RX)]],#N/A)</f>
        <v>#N/A</v>
      </c>
      <c r="AK16" s="1" t="e">
        <f t="shared" si="21"/>
        <v>#N/A</v>
      </c>
      <c r="AL16" s="1" t="e">
        <f t="shared" si="22"/>
        <v>#N/A</v>
      </c>
      <c r="AM16" s="1" t="e">
        <f t="shared" si="23"/>
        <v>#N/A</v>
      </c>
      <c r="AN16" s="1" t="e">
        <f t="shared" si="24"/>
        <v>#N/A</v>
      </c>
      <c r="AO16" s="1" t="e">
        <f t="shared" si="25"/>
        <v>#N/A</v>
      </c>
      <c r="AP16" s="1" t="e">
        <f t="shared" si="26"/>
        <v>#N/A</v>
      </c>
      <c r="AQ16" s="1" t="e">
        <f t="shared" si="27"/>
        <v>#N/A</v>
      </c>
      <c r="AS16" s="1" t="e">
        <f>IF(Table1[[#This Row],[Type (TX, RX, TRX, Oscillator)]]="Relay",Table1[[#This Row],[Frequency (GHz)]],#N/A)</f>
        <v>#N/A</v>
      </c>
      <c r="AT16" s="30" t="e">
        <f>IF(Table1[[#This Row],[Type (TX, RX, TRX, Oscillator)]]="Relay",DATE(Table1[[#This Row],[Year ]],Table1[[#This Row],[Month]],1),#N/A)</f>
        <v>#N/A</v>
      </c>
      <c r="AU16" s="1" t="e">
        <f>IF(Table1[[#This Row],[Type (TX, RX, TRX, Oscillator)]]="Relay",Table1[[#This Row],[Total Number of Elements (TX + RX)]],#N/A)</f>
        <v>#N/A</v>
      </c>
      <c r="AV16" s="1" t="e">
        <f t="shared" si="28"/>
        <v>#N/A</v>
      </c>
      <c r="AW16" s="1" t="e">
        <f t="shared" si="29"/>
        <v>#N/A</v>
      </c>
      <c r="AX16" s="1" t="e">
        <f t="shared" si="30"/>
        <v>#N/A</v>
      </c>
      <c r="AY16" s="1" t="e">
        <f t="shared" si="31"/>
        <v>#N/A</v>
      </c>
      <c r="AZ16" s="1" t="e">
        <f t="shared" si="32"/>
        <v>#N/A</v>
      </c>
      <c r="BA16" s="1" t="e">
        <f t="shared" si="33"/>
        <v>#N/A</v>
      </c>
      <c r="BB16" s="1" t="e">
        <f t="shared" si="34"/>
        <v>#N/A</v>
      </c>
    </row>
    <row r="17" spans="1:54" x14ac:dyDescent="0.2">
      <c r="A17" s="1" t="e">
        <f>IF(OR(Table1[[#This Row],[Type (TX, RX, TRX, Oscillator)]]="TX", Table1[[#This Row],[Type (TX, RX, TRX, Oscillator)]]="TX FE"),Table1[[#This Row],[Frequency (GHz)]],#N/A)</f>
        <v>#N/A</v>
      </c>
      <c r="B17" s="30" t="e">
        <f>IF(OR(Table1[[#This Row],[Type (TX, RX, TRX, Oscillator)]]="TX", Table1[[#This Row],[Type (TX, RX, TRX, Oscillator)]]="TX FE"),DATE(Table1[[#This Row],[Year ]],Table1[[#This Row],[Month]],1),#N/A)</f>
        <v>#N/A</v>
      </c>
      <c r="C17" s="1" t="e">
        <f>IF(OR(Table1[[#This Row],[Type (TX, RX, TRX, Oscillator)]]="TX",Table1[[#This Row],[Type (TX, RX, TRX, Oscillator)]]="TX FE"),Table1[[#This Row],[Total Number of Elements (TX + RX)]],#N/A)</f>
        <v>#N/A</v>
      </c>
      <c r="D17" s="1" t="e">
        <f t="shared" si="0"/>
        <v>#N/A</v>
      </c>
      <c r="E17" s="1" t="e">
        <f t="shared" si="1"/>
        <v>#N/A</v>
      </c>
      <c r="F17" s="1" t="e">
        <f t="shared" si="2"/>
        <v>#N/A</v>
      </c>
      <c r="G17" s="1" t="e">
        <f t="shared" si="3"/>
        <v>#N/A</v>
      </c>
      <c r="H17" s="1" t="e">
        <f t="shared" si="4"/>
        <v>#N/A</v>
      </c>
      <c r="I17" s="1" t="e">
        <f t="shared" si="5"/>
        <v>#N/A</v>
      </c>
      <c r="J17" s="1" t="e">
        <f t="shared" si="6"/>
        <v>#N/A</v>
      </c>
      <c r="L17" s="1" t="e">
        <f>IF(OR(Table1[[#This Row],[Type (TX, RX, TRX, Oscillator)]]="RX", Table1[[#This Row],[Type (TX, RX, TRX, Oscillator)]]="RX FE"),Table1[[#This Row],[Frequency (GHz)]],#N/A)</f>
        <v>#N/A</v>
      </c>
      <c r="M17" s="30" t="e">
        <f>IF(OR(Table1[[#This Row],[Type (TX, RX, TRX, Oscillator)]]="RX", Table1[[#This Row],[Type (TX, RX, TRX, Oscillator)]]="RX FE"),DATE(Table1[[#This Row],[Year ]],Table1[[#This Row],[Month]],1),#N/A)</f>
        <v>#N/A</v>
      </c>
      <c r="N17" s="1" t="e">
        <f>IF(OR(Table1[[#This Row],[Type (TX, RX, TRX, Oscillator)]]="RX", Table1[[#This Row],[Type (TX, RX, TRX, Oscillator)]]="RX FE"),Table1[[#This Row],[Total Number of Elements (TX + RX)]],#N/A)</f>
        <v>#N/A</v>
      </c>
      <c r="O17" s="1" t="e">
        <f t="shared" si="7"/>
        <v>#N/A</v>
      </c>
      <c r="P17" s="1" t="e">
        <f t="shared" si="8"/>
        <v>#N/A</v>
      </c>
      <c r="Q17" s="1" t="e">
        <f t="shared" si="9"/>
        <v>#N/A</v>
      </c>
      <c r="R17" s="1" t="e">
        <f t="shared" si="10"/>
        <v>#N/A</v>
      </c>
      <c r="S17" s="1" t="e">
        <f t="shared" si="11"/>
        <v>#N/A</v>
      </c>
      <c r="T17" s="1" t="e">
        <f t="shared" si="12"/>
        <v>#N/A</v>
      </c>
      <c r="U17" s="1" t="e">
        <f t="shared" si="13"/>
        <v>#N/A</v>
      </c>
      <c r="W17" s="1">
        <f>IF(OR(Table1[[#This Row],[Type (TX, RX, TRX, Oscillator)]]="TRX",Table1[[#This Row],[Type (TX, RX, TRX, Oscillator)]]="TRX FE"),Table1[[#This Row],[Frequency (GHz)]],#N/A)</f>
        <v>85</v>
      </c>
      <c r="X17" s="30">
        <f>IF(OR(Table1[[#This Row],[Type (TX, RX, TRX, Oscillator)]]="TRX", Table1[[#This Row],[Type (TX, RX, TRX, Oscillator)]]="TRX FE"),DATE(Table1[[#This Row],[Year ]],Table1[[#This Row],[Month]],1),#N/A)</f>
        <v>42125</v>
      </c>
      <c r="Y17" s="1">
        <f>IF(OR(Table1[[#This Row],[Type (TX, RX, TRX, Oscillator)]]="TRX", Table1[[#This Row],[Type (TX, RX, TRX, Oscillator)]]="TRX FE"),Table1[[#This Row],[Total Number of Elements (TX + RX)]],#N/A)</f>
        <v>20</v>
      </c>
      <c r="Z17" s="1" t="e">
        <f t="shared" si="14"/>
        <v>#N/A</v>
      </c>
      <c r="AA17" s="1" t="e">
        <f t="shared" si="15"/>
        <v>#N/A</v>
      </c>
      <c r="AB17" s="1" t="e">
        <f t="shared" si="16"/>
        <v>#N/A</v>
      </c>
      <c r="AC17" s="1">
        <f t="shared" si="17"/>
        <v>20</v>
      </c>
      <c r="AD17" s="1" t="e">
        <f t="shared" si="18"/>
        <v>#N/A</v>
      </c>
      <c r="AE17" s="1" t="e">
        <f t="shared" si="19"/>
        <v>#N/A</v>
      </c>
      <c r="AF17" s="1" t="e">
        <f t="shared" si="20"/>
        <v>#N/A</v>
      </c>
      <c r="AH17" s="1" t="e">
        <f>IF(Table1[[#This Row],[Type (TX, RX, TRX, Oscillator)]]="Oscillator",Table1[[#This Row],[Frequency (GHz)]],#N/A)</f>
        <v>#N/A</v>
      </c>
      <c r="AI17" s="30" t="e">
        <f>IF(Table1[[#This Row],[Type (TX, RX, TRX, Oscillator)]]="Oscillator",DATE(Table1[[#This Row],[Year ]],Table1[[#This Row],[Month]],1),#N/A)</f>
        <v>#N/A</v>
      </c>
      <c r="AJ17" s="1" t="e">
        <f>IF(Table1[[#This Row],[Type (TX, RX, TRX, Oscillator)]]="Oscillator",Table1[[#This Row],[Total Number of Elements (TX + RX)]],#N/A)</f>
        <v>#N/A</v>
      </c>
      <c r="AK17" s="1" t="e">
        <f t="shared" si="21"/>
        <v>#N/A</v>
      </c>
      <c r="AL17" s="1" t="e">
        <f t="shared" si="22"/>
        <v>#N/A</v>
      </c>
      <c r="AM17" s="1" t="e">
        <f t="shared" si="23"/>
        <v>#N/A</v>
      </c>
      <c r="AN17" s="1" t="e">
        <f t="shared" si="24"/>
        <v>#N/A</v>
      </c>
      <c r="AO17" s="1" t="e">
        <f t="shared" si="25"/>
        <v>#N/A</v>
      </c>
      <c r="AP17" s="1" t="e">
        <f t="shared" si="26"/>
        <v>#N/A</v>
      </c>
      <c r="AQ17" s="1" t="e">
        <f t="shared" si="27"/>
        <v>#N/A</v>
      </c>
      <c r="AS17" s="1" t="e">
        <f>IF(Table1[[#This Row],[Type (TX, RX, TRX, Oscillator)]]="Relay",Table1[[#This Row],[Frequency (GHz)]],#N/A)</f>
        <v>#N/A</v>
      </c>
      <c r="AT17" s="30" t="e">
        <f>IF(Table1[[#This Row],[Type (TX, RX, TRX, Oscillator)]]="Relay",DATE(Table1[[#This Row],[Year ]],Table1[[#This Row],[Month]],1),#N/A)</f>
        <v>#N/A</v>
      </c>
      <c r="AU17" s="1" t="e">
        <f>IF(Table1[[#This Row],[Type (TX, RX, TRX, Oscillator)]]="Relay",Table1[[#This Row],[Total Number of Elements (TX + RX)]],#N/A)</f>
        <v>#N/A</v>
      </c>
      <c r="AV17" s="1" t="e">
        <f t="shared" si="28"/>
        <v>#N/A</v>
      </c>
      <c r="AW17" s="1" t="e">
        <f t="shared" si="29"/>
        <v>#N/A</v>
      </c>
      <c r="AX17" s="1" t="e">
        <f t="shared" si="30"/>
        <v>#N/A</v>
      </c>
      <c r="AY17" s="1" t="e">
        <f t="shared" si="31"/>
        <v>#N/A</v>
      </c>
      <c r="AZ17" s="1" t="e">
        <f t="shared" si="32"/>
        <v>#N/A</v>
      </c>
      <c r="BA17" s="1" t="e">
        <f t="shared" si="33"/>
        <v>#N/A</v>
      </c>
      <c r="BB17" s="1" t="e">
        <f t="shared" si="34"/>
        <v>#N/A</v>
      </c>
    </row>
    <row r="18" spans="1:54" x14ac:dyDescent="0.2">
      <c r="A18" s="1" t="e">
        <f>IF(OR(Table1[[#This Row],[Type (TX, RX, TRX, Oscillator)]]="TX", Table1[[#This Row],[Type (TX, RX, TRX, Oscillator)]]="TX FE"),Table1[[#This Row],[Frequency (GHz)]],#N/A)</f>
        <v>#N/A</v>
      </c>
      <c r="B18" s="30" t="e">
        <f>IF(OR(Table1[[#This Row],[Type (TX, RX, TRX, Oscillator)]]="TX", Table1[[#This Row],[Type (TX, RX, TRX, Oscillator)]]="TX FE"),DATE(Table1[[#This Row],[Year ]],Table1[[#This Row],[Month]],1),#N/A)</f>
        <v>#N/A</v>
      </c>
      <c r="C18" s="1" t="e">
        <f>IF(OR(Table1[[#This Row],[Type (TX, RX, TRX, Oscillator)]]="TX",Table1[[#This Row],[Type (TX, RX, TRX, Oscillator)]]="TX FE"),Table1[[#This Row],[Total Number of Elements (TX + RX)]],#N/A)</f>
        <v>#N/A</v>
      </c>
      <c r="D18" s="1" t="e">
        <f t="shared" si="0"/>
        <v>#N/A</v>
      </c>
      <c r="E18" s="1" t="e">
        <f t="shared" si="1"/>
        <v>#N/A</v>
      </c>
      <c r="F18" s="1" t="e">
        <f t="shared" si="2"/>
        <v>#N/A</v>
      </c>
      <c r="G18" s="1" t="e">
        <f t="shared" si="3"/>
        <v>#N/A</v>
      </c>
      <c r="H18" s="1" t="e">
        <f t="shared" si="4"/>
        <v>#N/A</v>
      </c>
      <c r="I18" s="1" t="e">
        <f t="shared" si="5"/>
        <v>#N/A</v>
      </c>
      <c r="J18" s="1" t="e">
        <f t="shared" si="6"/>
        <v>#N/A</v>
      </c>
      <c r="L18" s="1" t="e">
        <f>IF(OR(Table1[[#This Row],[Type (TX, RX, TRX, Oscillator)]]="RX", Table1[[#This Row],[Type (TX, RX, TRX, Oscillator)]]="RX FE"),Table1[[#This Row],[Frequency (GHz)]],#N/A)</f>
        <v>#N/A</v>
      </c>
      <c r="M18" s="30" t="e">
        <f>IF(OR(Table1[[#This Row],[Type (TX, RX, TRX, Oscillator)]]="RX", Table1[[#This Row],[Type (TX, RX, TRX, Oscillator)]]="RX FE"),DATE(Table1[[#This Row],[Year ]],Table1[[#This Row],[Month]],1),#N/A)</f>
        <v>#N/A</v>
      </c>
      <c r="N18" s="1" t="e">
        <f>IF(OR(Table1[[#This Row],[Type (TX, RX, TRX, Oscillator)]]="RX", Table1[[#This Row],[Type (TX, RX, TRX, Oscillator)]]="RX FE"),Table1[[#This Row],[Total Number of Elements (TX + RX)]],#N/A)</f>
        <v>#N/A</v>
      </c>
      <c r="O18" s="1" t="e">
        <f t="shared" si="7"/>
        <v>#N/A</v>
      </c>
      <c r="P18" s="1" t="e">
        <f t="shared" si="8"/>
        <v>#N/A</v>
      </c>
      <c r="Q18" s="1" t="e">
        <f t="shared" si="9"/>
        <v>#N/A</v>
      </c>
      <c r="R18" s="1" t="e">
        <f t="shared" si="10"/>
        <v>#N/A</v>
      </c>
      <c r="S18" s="1" t="e">
        <f t="shared" si="11"/>
        <v>#N/A</v>
      </c>
      <c r="T18" s="1" t="e">
        <f t="shared" si="12"/>
        <v>#N/A</v>
      </c>
      <c r="U18" s="1" t="e">
        <f t="shared" si="13"/>
        <v>#N/A</v>
      </c>
      <c r="W18" s="1" t="e">
        <f>IF(OR(Table1[[#This Row],[Type (TX, RX, TRX, Oscillator)]]="TRX",Table1[[#This Row],[Type (TX, RX, TRX, Oscillator)]]="TRX FE"),Table1[[#This Row],[Frequency (GHz)]],#N/A)</f>
        <v>#N/A</v>
      </c>
      <c r="X18" s="30" t="e">
        <f>IF(OR(Table1[[#This Row],[Type (TX, RX, TRX, Oscillator)]]="TRX", Table1[[#This Row],[Type (TX, RX, TRX, Oscillator)]]="TRX FE"),DATE(Table1[[#This Row],[Year ]],Table1[[#This Row],[Month]],1),#N/A)</f>
        <v>#N/A</v>
      </c>
      <c r="Y18" s="1" t="e">
        <f>IF(OR(Table1[[#This Row],[Type (TX, RX, TRX, Oscillator)]]="TRX", Table1[[#This Row],[Type (TX, RX, TRX, Oscillator)]]="TRX FE"),Table1[[#This Row],[Total Number of Elements (TX + RX)]],#N/A)</f>
        <v>#N/A</v>
      </c>
      <c r="Z18" s="1" t="e">
        <f t="shared" si="14"/>
        <v>#N/A</v>
      </c>
      <c r="AA18" s="1" t="e">
        <f t="shared" si="15"/>
        <v>#N/A</v>
      </c>
      <c r="AB18" s="1" t="e">
        <f t="shared" si="16"/>
        <v>#N/A</v>
      </c>
      <c r="AC18" s="1" t="e">
        <f t="shared" si="17"/>
        <v>#N/A</v>
      </c>
      <c r="AD18" s="1" t="e">
        <f t="shared" si="18"/>
        <v>#N/A</v>
      </c>
      <c r="AE18" s="1" t="e">
        <f t="shared" si="19"/>
        <v>#N/A</v>
      </c>
      <c r="AF18" s="1" t="e">
        <f t="shared" si="20"/>
        <v>#N/A</v>
      </c>
      <c r="AH18" s="1" t="e">
        <f>IF(Table1[[#This Row],[Type (TX, RX, TRX, Oscillator)]]="Oscillator",Table1[[#This Row],[Frequency (GHz)]],#N/A)</f>
        <v>#N/A</v>
      </c>
      <c r="AI18" s="30" t="e">
        <f>IF(Table1[[#This Row],[Type (TX, RX, TRX, Oscillator)]]="Oscillator",DATE(Table1[[#This Row],[Year ]],Table1[[#This Row],[Month]],1),#N/A)</f>
        <v>#N/A</v>
      </c>
      <c r="AJ18" s="1" t="e">
        <f>IF(Table1[[#This Row],[Type (TX, RX, TRX, Oscillator)]]="Oscillator",Table1[[#This Row],[Total Number of Elements (TX + RX)]],#N/A)</f>
        <v>#N/A</v>
      </c>
      <c r="AK18" s="1" t="e">
        <f t="shared" si="21"/>
        <v>#N/A</v>
      </c>
      <c r="AL18" s="1" t="e">
        <f t="shared" si="22"/>
        <v>#N/A</v>
      </c>
      <c r="AM18" s="1" t="e">
        <f t="shared" si="23"/>
        <v>#N/A</v>
      </c>
      <c r="AN18" s="1" t="e">
        <f t="shared" si="24"/>
        <v>#N/A</v>
      </c>
      <c r="AO18" s="1" t="e">
        <f t="shared" si="25"/>
        <v>#N/A</v>
      </c>
      <c r="AP18" s="1" t="e">
        <f t="shared" si="26"/>
        <v>#N/A</v>
      </c>
      <c r="AQ18" s="1" t="e">
        <f t="shared" si="27"/>
        <v>#N/A</v>
      </c>
      <c r="AS18" s="1">
        <f>IF(Table1[[#This Row],[Type (TX, RX, TRX, Oscillator)]]="Relay",Table1[[#This Row],[Frequency (GHz)]],#N/A)</f>
        <v>45</v>
      </c>
      <c r="AT18" s="30">
        <f>IF(Table1[[#This Row],[Type (TX, RX, TRX, Oscillator)]]="Relay",DATE(Table1[[#This Row],[Year ]],Table1[[#This Row],[Month]],1),#N/A)</f>
        <v>42461</v>
      </c>
      <c r="AU18" s="1">
        <f>IF(Table1[[#This Row],[Type (TX, RX, TRX, Oscillator)]]="Relay",Table1[[#This Row],[Total Number of Elements (TX + RX)]],#N/A)</f>
        <v>0</v>
      </c>
      <c r="AV18" s="1" t="e">
        <f t="shared" si="28"/>
        <v>#N/A</v>
      </c>
      <c r="AW18" s="1">
        <f t="shared" si="29"/>
        <v>0</v>
      </c>
      <c r="AX18" s="1" t="e">
        <f t="shared" si="30"/>
        <v>#N/A</v>
      </c>
      <c r="AY18" s="1" t="e">
        <f t="shared" si="31"/>
        <v>#N/A</v>
      </c>
      <c r="AZ18" s="1" t="e">
        <f t="shared" si="32"/>
        <v>#N/A</v>
      </c>
      <c r="BA18" s="1" t="e">
        <f t="shared" si="33"/>
        <v>#N/A</v>
      </c>
      <c r="BB18" s="1" t="e">
        <f t="shared" si="34"/>
        <v>#N/A</v>
      </c>
    </row>
    <row r="19" spans="1:54" x14ac:dyDescent="0.2">
      <c r="A19" s="1">
        <f>IF(OR(Table1[[#This Row],[Type (TX, RX, TRX, Oscillator)]]="TX", Table1[[#This Row],[Type (TX, RX, TRX, Oscillator)]]="TX FE"),Table1[[#This Row],[Frequency (GHz)]],#N/A)</f>
        <v>390</v>
      </c>
      <c r="B19" s="30">
        <f>IF(OR(Table1[[#This Row],[Type (TX, RX, TRX, Oscillator)]]="TX", Table1[[#This Row],[Type (TX, RX, TRX, Oscillator)]]="TX FE"),DATE(Table1[[#This Row],[Year ]],Table1[[#This Row],[Month]],1),#N/A)</f>
        <v>42644</v>
      </c>
      <c r="C19" s="1">
        <f>IF(OR(Table1[[#This Row],[Type (TX, RX, TRX, Oscillator)]]="TX",Table1[[#This Row],[Type (TX, RX, TRX, Oscillator)]]="TX FE"),Table1[[#This Row],[Total Number of Elements (TX + RX)]],#N/A)</f>
        <v>8</v>
      </c>
      <c r="D19" s="1" t="e">
        <f t="shared" si="0"/>
        <v>#N/A</v>
      </c>
      <c r="E19" s="1" t="e">
        <f t="shared" si="1"/>
        <v>#N/A</v>
      </c>
      <c r="F19" s="1" t="e">
        <f t="shared" si="2"/>
        <v>#N/A</v>
      </c>
      <c r="G19" s="1" t="e">
        <f t="shared" si="3"/>
        <v>#N/A</v>
      </c>
      <c r="H19" s="1" t="e">
        <f t="shared" si="4"/>
        <v>#N/A</v>
      </c>
      <c r="I19" s="1" t="e">
        <f t="shared" si="5"/>
        <v>#N/A</v>
      </c>
      <c r="J19" s="1">
        <f t="shared" si="6"/>
        <v>8</v>
      </c>
      <c r="L19" s="1" t="e">
        <f>IF(OR(Table1[[#This Row],[Type (TX, RX, TRX, Oscillator)]]="RX", Table1[[#This Row],[Type (TX, RX, TRX, Oscillator)]]="RX FE"),Table1[[#This Row],[Frequency (GHz)]],#N/A)</f>
        <v>#N/A</v>
      </c>
      <c r="M19" s="30" t="e">
        <f>IF(OR(Table1[[#This Row],[Type (TX, RX, TRX, Oscillator)]]="RX", Table1[[#This Row],[Type (TX, RX, TRX, Oscillator)]]="RX FE"),DATE(Table1[[#This Row],[Year ]],Table1[[#This Row],[Month]],1),#N/A)</f>
        <v>#N/A</v>
      </c>
      <c r="N19" s="1" t="e">
        <f>IF(OR(Table1[[#This Row],[Type (TX, RX, TRX, Oscillator)]]="RX", Table1[[#This Row],[Type (TX, RX, TRX, Oscillator)]]="RX FE"),Table1[[#This Row],[Total Number of Elements (TX + RX)]],#N/A)</f>
        <v>#N/A</v>
      </c>
      <c r="O19" s="1" t="e">
        <f t="shared" si="7"/>
        <v>#N/A</v>
      </c>
      <c r="P19" s="1" t="e">
        <f t="shared" si="8"/>
        <v>#N/A</v>
      </c>
      <c r="Q19" s="1" t="e">
        <f t="shared" si="9"/>
        <v>#N/A</v>
      </c>
      <c r="R19" s="1" t="e">
        <f t="shared" si="10"/>
        <v>#N/A</v>
      </c>
      <c r="S19" s="1" t="e">
        <f t="shared" si="11"/>
        <v>#N/A</v>
      </c>
      <c r="T19" s="1" t="e">
        <f t="shared" si="12"/>
        <v>#N/A</v>
      </c>
      <c r="U19" s="1" t="e">
        <f t="shared" si="13"/>
        <v>#N/A</v>
      </c>
      <c r="W19" s="1" t="e">
        <f>IF(OR(Table1[[#This Row],[Type (TX, RX, TRX, Oscillator)]]="TRX",Table1[[#This Row],[Type (TX, RX, TRX, Oscillator)]]="TRX FE"),Table1[[#This Row],[Frequency (GHz)]],#N/A)</f>
        <v>#N/A</v>
      </c>
      <c r="X19" s="30" t="e">
        <f>IF(OR(Table1[[#This Row],[Type (TX, RX, TRX, Oscillator)]]="TRX", Table1[[#This Row],[Type (TX, RX, TRX, Oscillator)]]="TRX FE"),DATE(Table1[[#This Row],[Year ]],Table1[[#This Row],[Month]],1),#N/A)</f>
        <v>#N/A</v>
      </c>
      <c r="Y19" s="1" t="e">
        <f>IF(OR(Table1[[#This Row],[Type (TX, RX, TRX, Oscillator)]]="TRX", Table1[[#This Row],[Type (TX, RX, TRX, Oscillator)]]="TRX FE"),Table1[[#This Row],[Total Number of Elements (TX + RX)]],#N/A)</f>
        <v>#N/A</v>
      </c>
      <c r="Z19" s="1" t="e">
        <f t="shared" si="14"/>
        <v>#N/A</v>
      </c>
      <c r="AA19" s="1" t="e">
        <f t="shared" si="15"/>
        <v>#N/A</v>
      </c>
      <c r="AB19" s="1" t="e">
        <f t="shared" si="16"/>
        <v>#N/A</v>
      </c>
      <c r="AC19" s="1" t="e">
        <f t="shared" si="17"/>
        <v>#N/A</v>
      </c>
      <c r="AD19" s="1" t="e">
        <f t="shared" si="18"/>
        <v>#N/A</v>
      </c>
      <c r="AE19" s="1" t="e">
        <f t="shared" si="19"/>
        <v>#N/A</v>
      </c>
      <c r="AF19" s="1" t="e">
        <f t="shared" si="20"/>
        <v>#N/A</v>
      </c>
      <c r="AH19" s="1" t="e">
        <f>IF(Table1[[#This Row],[Type (TX, RX, TRX, Oscillator)]]="Oscillator",Table1[[#This Row],[Frequency (GHz)]],#N/A)</f>
        <v>#N/A</v>
      </c>
      <c r="AI19" s="30" t="e">
        <f>IF(Table1[[#This Row],[Type (TX, RX, TRX, Oscillator)]]="Oscillator",DATE(Table1[[#This Row],[Year ]],Table1[[#This Row],[Month]],1),#N/A)</f>
        <v>#N/A</v>
      </c>
      <c r="AJ19" s="1" t="e">
        <f>IF(Table1[[#This Row],[Type (TX, RX, TRX, Oscillator)]]="Oscillator",Table1[[#This Row],[Total Number of Elements (TX + RX)]],#N/A)</f>
        <v>#N/A</v>
      </c>
      <c r="AK19" s="1" t="e">
        <f t="shared" si="21"/>
        <v>#N/A</v>
      </c>
      <c r="AL19" s="1" t="e">
        <f t="shared" si="22"/>
        <v>#N/A</v>
      </c>
      <c r="AM19" s="1" t="e">
        <f t="shared" si="23"/>
        <v>#N/A</v>
      </c>
      <c r="AN19" s="1" t="e">
        <f t="shared" si="24"/>
        <v>#N/A</v>
      </c>
      <c r="AO19" s="1" t="e">
        <f t="shared" si="25"/>
        <v>#N/A</v>
      </c>
      <c r="AP19" s="1" t="e">
        <f t="shared" si="26"/>
        <v>#N/A</v>
      </c>
      <c r="AQ19" s="1" t="e">
        <f t="shared" si="27"/>
        <v>#N/A</v>
      </c>
      <c r="AS19" s="1" t="e">
        <f>IF(Table1[[#This Row],[Type (TX, RX, TRX, Oscillator)]]="Relay",Table1[[#This Row],[Frequency (GHz)]],#N/A)</f>
        <v>#N/A</v>
      </c>
      <c r="AT19" s="30" t="e">
        <f>IF(Table1[[#This Row],[Type (TX, RX, TRX, Oscillator)]]="Relay",DATE(Table1[[#This Row],[Year ]],Table1[[#This Row],[Month]],1),#N/A)</f>
        <v>#N/A</v>
      </c>
      <c r="AU19" s="1" t="e">
        <f>IF(Table1[[#This Row],[Type (TX, RX, TRX, Oscillator)]]="Relay",Table1[[#This Row],[Total Number of Elements (TX + RX)]],#N/A)</f>
        <v>#N/A</v>
      </c>
      <c r="AV19" s="1" t="e">
        <f t="shared" si="28"/>
        <v>#N/A</v>
      </c>
      <c r="AW19" s="1" t="e">
        <f t="shared" si="29"/>
        <v>#N/A</v>
      </c>
      <c r="AX19" s="1" t="e">
        <f t="shared" si="30"/>
        <v>#N/A</v>
      </c>
      <c r="AY19" s="1" t="e">
        <f t="shared" si="31"/>
        <v>#N/A</v>
      </c>
      <c r="AZ19" s="1" t="e">
        <f t="shared" si="32"/>
        <v>#N/A</v>
      </c>
      <c r="BA19" s="1" t="e">
        <f t="shared" si="33"/>
        <v>#N/A</v>
      </c>
      <c r="BB19" s="1" t="e">
        <f t="shared" si="34"/>
        <v>#N/A</v>
      </c>
    </row>
    <row r="20" spans="1:54" x14ac:dyDescent="0.2">
      <c r="A20" s="1">
        <f>IF(OR(Table1[[#This Row],[Type (TX, RX, TRX, Oscillator)]]="TX", Table1[[#This Row],[Type (TX, RX, TRX, Oscillator)]]="TX FE"),Table1[[#This Row],[Frequency (GHz)]],#N/A)</f>
        <v>60</v>
      </c>
      <c r="B20" s="30">
        <f>IF(OR(Table1[[#This Row],[Type (TX, RX, TRX, Oscillator)]]="TX", Table1[[#This Row],[Type (TX, RX, TRX, Oscillator)]]="TX FE"),DATE(Table1[[#This Row],[Year ]],Table1[[#This Row],[Month]],1),#N/A)</f>
        <v>42705</v>
      </c>
      <c r="C20" s="1">
        <f>IF(OR(Table1[[#This Row],[Type (TX, RX, TRX, Oscillator)]]="TX",Table1[[#This Row],[Type (TX, RX, TRX, Oscillator)]]="TX FE"),Table1[[#This Row],[Total Number of Elements (TX + RX)]],#N/A)</f>
        <v>64</v>
      </c>
      <c r="D20" s="1" t="e">
        <f t="shared" si="0"/>
        <v>#N/A</v>
      </c>
      <c r="E20" s="1" t="e">
        <f t="shared" si="1"/>
        <v>#N/A</v>
      </c>
      <c r="F20" s="1">
        <f t="shared" si="2"/>
        <v>64</v>
      </c>
      <c r="G20" s="1" t="e">
        <f t="shared" si="3"/>
        <v>#N/A</v>
      </c>
      <c r="H20" s="1" t="e">
        <f t="shared" si="4"/>
        <v>#N/A</v>
      </c>
      <c r="I20" s="1" t="e">
        <f t="shared" si="5"/>
        <v>#N/A</v>
      </c>
      <c r="J20" s="1" t="e">
        <f t="shared" si="6"/>
        <v>#N/A</v>
      </c>
      <c r="L20" s="1" t="e">
        <f>IF(OR(Table1[[#This Row],[Type (TX, RX, TRX, Oscillator)]]="RX", Table1[[#This Row],[Type (TX, RX, TRX, Oscillator)]]="RX FE"),Table1[[#This Row],[Frequency (GHz)]],#N/A)</f>
        <v>#N/A</v>
      </c>
      <c r="M20" s="30" t="e">
        <f>IF(OR(Table1[[#This Row],[Type (TX, RX, TRX, Oscillator)]]="RX", Table1[[#This Row],[Type (TX, RX, TRX, Oscillator)]]="RX FE"),DATE(Table1[[#This Row],[Year ]],Table1[[#This Row],[Month]],1),#N/A)</f>
        <v>#N/A</v>
      </c>
      <c r="N20" s="1" t="e">
        <f>IF(OR(Table1[[#This Row],[Type (TX, RX, TRX, Oscillator)]]="RX", Table1[[#This Row],[Type (TX, RX, TRX, Oscillator)]]="RX FE"),Table1[[#This Row],[Total Number of Elements (TX + RX)]],#N/A)</f>
        <v>#N/A</v>
      </c>
      <c r="O20" s="1" t="e">
        <f t="shared" si="7"/>
        <v>#N/A</v>
      </c>
      <c r="P20" s="1" t="e">
        <f t="shared" si="8"/>
        <v>#N/A</v>
      </c>
      <c r="Q20" s="1" t="e">
        <f t="shared" si="9"/>
        <v>#N/A</v>
      </c>
      <c r="R20" s="1" t="e">
        <f t="shared" si="10"/>
        <v>#N/A</v>
      </c>
      <c r="S20" s="1" t="e">
        <f t="shared" si="11"/>
        <v>#N/A</v>
      </c>
      <c r="T20" s="1" t="e">
        <f t="shared" si="12"/>
        <v>#N/A</v>
      </c>
      <c r="U20" s="1" t="e">
        <f t="shared" si="13"/>
        <v>#N/A</v>
      </c>
      <c r="W20" s="1" t="e">
        <f>IF(OR(Table1[[#This Row],[Type (TX, RX, TRX, Oscillator)]]="TRX",Table1[[#This Row],[Type (TX, RX, TRX, Oscillator)]]="TRX FE"),Table1[[#This Row],[Frequency (GHz)]],#N/A)</f>
        <v>#N/A</v>
      </c>
      <c r="X20" s="30" t="e">
        <f>IF(OR(Table1[[#This Row],[Type (TX, RX, TRX, Oscillator)]]="TRX", Table1[[#This Row],[Type (TX, RX, TRX, Oscillator)]]="TRX FE"),DATE(Table1[[#This Row],[Year ]],Table1[[#This Row],[Month]],1),#N/A)</f>
        <v>#N/A</v>
      </c>
      <c r="Y20" s="1" t="e">
        <f>IF(OR(Table1[[#This Row],[Type (TX, RX, TRX, Oscillator)]]="TRX", Table1[[#This Row],[Type (TX, RX, TRX, Oscillator)]]="TRX FE"),Table1[[#This Row],[Total Number of Elements (TX + RX)]],#N/A)</f>
        <v>#N/A</v>
      </c>
      <c r="Z20" s="1" t="e">
        <f t="shared" si="14"/>
        <v>#N/A</v>
      </c>
      <c r="AA20" s="1" t="e">
        <f t="shared" si="15"/>
        <v>#N/A</v>
      </c>
      <c r="AB20" s="1" t="e">
        <f t="shared" si="16"/>
        <v>#N/A</v>
      </c>
      <c r="AC20" s="1" t="e">
        <f t="shared" si="17"/>
        <v>#N/A</v>
      </c>
      <c r="AD20" s="1" t="e">
        <f t="shared" si="18"/>
        <v>#N/A</v>
      </c>
      <c r="AE20" s="1" t="e">
        <f t="shared" si="19"/>
        <v>#N/A</v>
      </c>
      <c r="AF20" s="1" t="e">
        <f t="shared" si="20"/>
        <v>#N/A</v>
      </c>
      <c r="AH20" s="1" t="e">
        <f>IF(Table1[[#This Row],[Type (TX, RX, TRX, Oscillator)]]="Oscillator",Table1[[#This Row],[Frequency (GHz)]],#N/A)</f>
        <v>#N/A</v>
      </c>
      <c r="AI20" s="30" t="e">
        <f>IF(Table1[[#This Row],[Type (TX, RX, TRX, Oscillator)]]="Oscillator",DATE(Table1[[#This Row],[Year ]],Table1[[#This Row],[Month]],1),#N/A)</f>
        <v>#N/A</v>
      </c>
      <c r="AJ20" s="1" t="e">
        <f>IF(Table1[[#This Row],[Type (TX, RX, TRX, Oscillator)]]="Oscillator",Table1[[#This Row],[Total Number of Elements (TX + RX)]],#N/A)</f>
        <v>#N/A</v>
      </c>
      <c r="AK20" s="1" t="e">
        <f t="shared" si="21"/>
        <v>#N/A</v>
      </c>
      <c r="AL20" s="1" t="e">
        <f t="shared" si="22"/>
        <v>#N/A</v>
      </c>
      <c r="AM20" s="1" t="e">
        <f t="shared" si="23"/>
        <v>#N/A</v>
      </c>
      <c r="AN20" s="1" t="e">
        <f t="shared" si="24"/>
        <v>#N/A</v>
      </c>
      <c r="AO20" s="1" t="e">
        <f t="shared" si="25"/>
        <v>#N/A</v>
      </c>
      <c r="AP20" s="1" t="e">
        <f t="shared" si="26"/>
        <v>#N/A</v>
      </c>
      <c r="AQ20" s="1" t="e">
        <f t="shared" si="27"/>
        <v>#N/A</v>
      </c>
      <c r="AS20" s="1" t="e">
        <f>IF(Table1[[#This Row],[Type (TX, RX, TRX, Oscillator)]]="Relay",Table1[[#This Row],[Frequency (GHz)]],#N/A)</f>
        <v>#N/A</v>
      </c>
      <c r="AT20" s="30" t="e">
        <f>IF(Table1[[#This Row],[Type (TX, RX, TRX, Oscillator)]]="Relay",DATE(Table1[[#This Row],[Year ]],Table1[[#This Row],[Month]],1),#N/A)</f>
        <v>#N/A</v>
      </c>
      <c r="AU20" s="1" t="e">
        <f>IF(Table1[[#This Row],[Type (TX, RX, TRX, Oscillator)]]="Relay",Table1[[#This Row],[Total Number of Elements (TX + RX)]],#N/A)</f>
        <v>#N/A</v>
      </c>
      <c r="AV20" s="1" t="e">
        <f t="shared" si="28"/>
        <v>#N/A</v>
      </c>
      <c r="AW20" s="1" t="e">
        <f t="shared" si="29"/>
        <v>#N/A</v>
      </c>
      <c r="AX20" s="1" t="e">
        <f t="shared" si="30"/>
        <v>#N/A</v>
      </c>
      <c r="AY20" s="1" t="e">
        <f t="shared" si="31"/>
        <v>#N/A</v>
      </c>
      <c r="AZ20" s="1" t="e">
        <f t="shared" si="32"/>
        <v>#N/A</v>
      </c>
      <c r="BA20" s="1" t="e">
        <f t="shared" si="33"/>
        <v>#N/A</v>
      </c>
      <c r="BB20" s="1" t="e">
        <f t="shared" si="34"/>
        <v>#N/A</v>
      </c>
    </row>
    <row r="21" spans="1:54" x14ac:dyDescent="0.2">
      <c r="A21" s="1">
        <f>IF(OR(Table1[[#This Row],[Type (TX, RX, TRX, Oscillator)]]="TX", Table1[[#This Row],[Type (TX, RX, TRX, Oscillator)]]="TX FE"),Table1[[#This Row],[Frequency (GHz)]],#N/A)</f>
        <v>60</v>
      </c>
      <c r="B21" s="30">
        <f>IF(OR(Table1[[#This Row],[Type (TX, RX, TRX, Oscillator)]]="TX", Table1[[#This Row],[Type (TX, RX, TRX, Oscillator)]]="TX FE"),DATE(Table1[[#This Row],[Year ]],Table1[[#This Row],[Month]],1),#N/A)</f>
        <v>42705</v>
      </c>
      <c r="C21" s="1">
        <f>IF(OR(Table1[[#This Row],[Type (TX, RX, TRX, Oscillator)]]="TX",Table1[[#This Row],[Type (TX, RX, TRX, Oscillator)]]="TX FE"),Table1[[#This Row],[Total Number of Elements (TX + RX)]],#N/A)</f>
        <v>256</v>
      </c>
      <c r="D21" s="1" t="e">
        <f t="shared" si="0"/>
        <v>#N/A</v>
      </c>
      <c r="E21" s="1" t="e">
        <f t="shared" si="1"/>
        <v>#N/A</v>
      </c>
      <c r="F21" s="1">
        <f t="shared" si="2"/>
        <v>256</v>
      </c>
      <c r="G21" s="1" t="e">
        <f t="shared" si="3"/>
        <v>#N/A</v>
      </c>
      <c r="H21" s="1" t="e">
        <f t="shared" si="4"/>
        <v>#N/A</v>
      </c>
      <c r="I21" s="1" t="e">
        <f t="shared" si="5"/>
        <v>#N/A</v>
      </c>
      <c r="J21" s="1" t="e">
        <f t="shared" si="6"/>
        <v>#N/A</v>
      </c>
      <c r="L21" s="1" t="e">
        <f>IF(OR(Table1[[#This Row],[Type (TX, RX, TRX, Oscillator)]]="RX", Table1[[#This Row],[Type (TX, RX, TRX, Oscillator)]]="RX FE"),Table1[[#This Row],[Frequency (GHz)]],#N/A)</f>
        <v>#N/A</v>
      </c>
      <c r="M21" s="30" t="e">
        <f>IF(OR(Table1[[#This Row],[Type (TX, RX, TRX, Oscillator)]]="RX", Table1[[#This Row],[Type (TX, RX, TRX, Oscillator)]]="RX FE"),DATE(Table1[[#This Row],[Year ]],Table1[[#This Row],[Month]],1),#N/A)</f>
        <v>#N/A</v>
      </c>
      <c r="N21" s="1" t="e">
        <f>IF(OR(Table1[[#This Row],[Type (TX, RX, TRX, Oscillator)]]="RX", Table1[[#This Row],[Type (TX, RX, TRX, Oscillator)]]="RX FE"),Table1[[#This Row],[Total Number of Elements (TX + RX)]],#N/A)</f>
        <v>#N/A</v>
      </c>
      <c r="O21" s="1" t="e">
        <f t="shared" si="7"/>
        <v>#N/A</v>
      </c>
      <c r="P21" s="1" t="e">
        <f t="shared" si="8"/>
        <v>#N/A</v>
      </c>
      <c r="Q21" s="1" t="e">
        <f t="shared" si="9"/>
        <v>#N/A</v>
      </c>
      <c r="R21" s="1" t="e">
        <f t="shared" si="10"/>
        <v>#N/A</v>
      </c>
      <c r="S21" s="1" t="e">
        <f t="shared" si="11"/>
        <v>#N/A</v>
      </c>
      <c r="T21" s="1" t="e">
        <f t="shared" si="12"/>
        <v>#N/A</v>
      </c>
      <c r="U21" s="1" t="e">
        <f t="shared" si="13"/>
        <v>#N/A</v>
      </c>
      <c r="W21" s="1" t="e">
        <f>IF(OR(Table1[[#This Row],[Type (TX, RX, TRX, Oscillator)]]="TRX",Table1[[#This Row],[Type (TX, RX, TRX, Oscillator)]]="TRX FE"),Table1[[#This Row],[Frequency (GHz)]],#N/A)</f>
        <v>#N/A</v>
      </c>
      <c r="X21" s="30" t="e">
        <f>IF(OR(Table1[[#This Row],[Type (TX, RX, TRX, Oscillator)]]="TRX", Table1[[#This Row],[Type (TX, RX, TRX, Oscillator)]]="TRX FE"),DATE(Table1[[#This Row],[Year ]],Table1[[#This Row],[Month]],1),#N/A)</f>
        <v>#N/A</v>
      </c>
      <c r="Y21" s="1" t="e">
        <f>IF(OR(Table1[[#This Row],[Type (TX, RX, TRX, Oscillator)]]="TRX", Table1[[#This Row],[Type (TX, RX, TRX, Oscillator)]]="TRX FE"),Table1[[#This Row],[Total Number of Elements (TX + RX)]],#N/A)</f>
        <v>#N/A</v>
      </c>
      <c r="Z21" s="1" t="e">
        <f t="shared" si="14"/>
        <v>#N/A</v>
      </c>
      <c r="AA21" s="1" t="e">
        <f t="shared" si="15"/>
        <v>#N/A</v>
      </c>
      <c r="AB21" s="1" t="e">
        <f t="shared" si="16"/>
        <v>#N/A</v>
      </c>
      <c r="AC21" s="1" t="e">
        <f t="shared" si="17"/>
        <v>#N/A</v>
      </c>
      <c r="AD21" s="1" t="e">
        <f t="shared" si="18"/>
        <v>#N/A</v>
      </c>
      <c r="AE21" s="1" t="e">
        <f t="shared" si="19"/>
        <v>#N/A</v>
      </c>
      <c r="AF21" s="1" t="e">
        <f t="shared" si="20"/>
        <v>#N/A</v>
      </c>
      <c r="AH21" s="1" t="e">
        <f>IF(Table1[[#This Row],[Type (TX, RX, TRX, Oscillator)]]="Oscillator",Table1[[#This Row],[Frequency (GHz)]],#N/A)</f>
        <v>#N/A</v>
      </c>
      <c r="AI21" s="30" t="e">
        <f>IF(Table1[[#This Row],[Type (TX, RX, TRX, Oscillator)]]="Oscillator",DATE(Table1[[#This Row],[Year ]],Table1[[#This Row],[Month]],1),#N/A)</f>
        <v>#N/A</v>
      </c>
      <c r="AJ21" s="1" t="e">
        <f>IF(Table1[[#This Row],[Type (TX, RX, TRX, Oscillator)]]="Oscillator",Table1[[#This Row],[Total Number of Elements (TX + RX)]],#N/A)</f>
        <v>#N/A</v>
      </c>
      <c r="AK21" s="1" t="e">
        <f t="shared" si="21"/>
        <v>#N/A</v>
      </c>
      <c r="AL21" s="1" t="e">
        <f t="shared" si="22"/>
        <v>#N/A</v>
      </c>
      <c r="AM21" s="1" t="e">
        <f t="shared" si="23"/>
        <v>#N/A</v>
      </c>
      <c r="AN21" s="1" t="e">
        <f t="shared" si="24"/>
        <v>#N/A</v>
      </c>
      <c r="AO21" s="1" t="e">
        <f t="shared" si="25"/>
        <v>#N/A</v>
      </c>
      <c r="AP21" s="1" t="e">
        <f t="shared" si="26"/>
        <v>#N/A</v>
      </c>
      <c r="AQ21" s="1" t="e">
        <f t="shared" si="27"/>
        <v>#N/A</v>
      </c>
      <c r="AS21" s="1" t="e">
        <f>IF(Table1[[#This Row],[Type (TX, RX, TRX, Oscillator)]]="Relay",Table1[[#This Row],[Frequency (GHz)]],#N/A)</f>
        <v>#N/A</v>
      </c>
      <c r="AT21" s="30" t="e">
        <f>IF(Table1[[#This Row],[Type (TX, RX, TRX, Oscillator)]]="Relay",DATE(Table1[[#This Row],[Year ]],Table1[[#This Row],[Month]],1),#N/A)</f>
        <v>#N/A</v>
      </c>
      <c r="AU21" s="1" t="e">
        <f>IF(Table1[[#This Row],[Type (TX, RX, TRX, Oscillator)]]="Relay",Table1[[#This Row],[Total Number of Elements (TX + RX)]],#N/A)</f>
        <v>#N/A</v>
      </c>
      <c r="AV21" s="1" t="e">
        <f t="shared" si="28"/>
        <v>#N/A</v>
      </c>
      <c r="AW21" s="1" t="e">
        <f t="shared" si="29"/>
        <v>#N/A</v>
      </c>
      <c r="AX21" s="1" t="e">
        <f t="shared" si="30"/>
        <v>#N/A</v>
      </c>
      <c r="AY21" s="1" t="e">
        <f t="shared" si="31"/>
        <v>#N/A</v>
      </c>
      <c r="AZ21" s="1" t="e">
        <f t="shared" si="32"/>
        <v>#N/A</v>
      </c>
      <c r="BA21" s="1" t="e">
        <f t="shared" si="33"/>
        <v>#N/A</v>
      </c>
      <c r="BB21" s="1" t="e">
        <f t="shared" si="34"/>
        <v>#N/A</v>
      </c>
    </row>
    <row r="22" spans="1:54" x14ac:dyDescent="0.2">
      <c r="A22" s="1" t="e">
        <f>IF(OR(Table1[[#This Row],[Type (TX, RX, TRX, Oscillator)]]="TX", Table1[[#This Row],[Type (TX, RX, TRX, Oscillator)]]="TX FE"),Table1[[#This Row],[Frequency (GHz)]],#N/A)</f>
        <v>#N/A</v>
      </c>
      <c r="B22" s="30" t="e">
        <f>IF(OR(Table1[[#This Row],[Type (TX, RX, TRX, Oscillator)]]="TX", Table1[[#This Row],[Type (TX, RX, TRX, Oscillator)]]="TX FE"),DATE(Table1[[#This Row],[Year ]],Table1[[#This Row],[Month]],1),#N/A)</f>
        <v>#N/A</v>
      </c>
      <c r="C22" s="1" t="e">
        <f>IF(OR(Table1[[#This Row],[Type (TX, RX, TRX, Oscillator)]]="TX",Table1[[#This Row],[Type (TX, RX, TRX, Oscillator)]]="TX FE"),Table1[[#This Row],[Total Number of Elements (TX + RX)]],#N/A)</f>
        <v>#N/A</v>
      </c>
      <c r="D22" s="1" t="e">
        <f t="shared" si="0"/>
        <v>#N/A</v>
      </c>
      <c r="E22" s="1" t="e">
        <f t="shared" si="1"/>
        <v>#N/A</v>
      </c>
      <c r="F22" s="1" t="e">
        <f t="shared" si="2"/>
        <v>#N/A</v>
      </c>
      <c r="G22" s="1" t="e">
        <f t="shared" si="3"/>
        <v>#N/A</v>
      </c>
      <c r="H22" s="1" t="e">
        <f t="shared" si="4"/>
        <v>#N/A</v>
      </c>
      <c r="I22" s="1" t="e">
        <f t="shared" si="5"/>
        <v>#N/A</v>
      </c>
      <c r="J22" s="1" t="e">
        <f t="shared" si="6"/>
        <v>#N/A</v>
      </c>
      <c r="L22" s="1" t="e">
        <f>IF(OR(Table1[[#This Row],[Type (TX, RX, TRX, Oscillator)]]="RX", Table1[[#This Row],[Type (TX, RX, TRX, Oscillator)]]="RX FE"),Table1[[#This Row],[Frequency (GHz)]],#N/A)</f>
        <v>#N/A</v>
      </c>
      <c r="M22" s="30" t="e">
        <f>IF(OR(Table1[[#This Row],[Type (TX, RX, TRX, Oscillator)]]="RX", Table1[[#This Row],[Type (TX, RX, TRX, Oscillator)]]="RX FE"),DATE(Table1[[#This Row],[Year ]],Table1[[#This Row],[Month]],1),#N/A)</f>
        <v>#N/A</v>
      </c>
      <c r="N22" s="1" t="e">
        <f>IF(OR(Table1[[#This Row],[Type (TX, RX, TRX, Oscillator)]]="RX", Table1[[#This Row],[Type (TX, RX, TRX, Oscillator)]]="RX FE"),Table1[[#This Row],[Total Number of Elements (TX + RX)]],#N/A)</f>
        <v>#N/A</v>
      </c>
      <c r="O22" s="1" t="e">
        <f t="shared" si="7"/>
        <v>#N/A</v>
      </c>
      <c r="P22" s="1" t="e">
        <f t="shared" si="8"/>
        <v>#N/A</v>
      </c>
      <c r="Q22" s="1" t="e">
        <f t="shared" si="9"/>
        <v>#N/A</v>
      </c>
      <c r="R22" s="1" t="e">
        <f t="shared" si="10"/>
        <v>#N/A</v>
      </c>
      <c r="S22" s="1" t="e">
        <f t="shared" si="11"/>
        <v>#N/A</v>
      </c>
      <c r="T22" s="1" t="e">
        <f t="shared" si="12"/>
        <v>#N/A</v>
      </c>
      <c r="U22" s="1" t="e">
        <f t="shared" si="13"/>
        <v>#N/A</v>
      </c>
      <c r="W22" s="1">
        <f>IF(OR(Table1[[#This Row],[Type (TX, RX, TRX, Oscillator)]]="TRX",Table1[[#This Row],[Type (TX, RX, TRX, Oscillator)]]="TRX FE"),Table1[[#This Row],[Frequency (GHz)]],#N/A)</f>
        <v>28</v>
      </c>
      <c r="X22" s="30">
        <f>IF(OR(Table1[[#This Row],[Type (TX, RX, TRX, Oscillator)]]="TRX", Table1[[#This Row],[Type (TX, RX, TRX, Oscillator)]]="TRX FE"),DATE(Table1[[#This Row],[Year ]],Table1[[#This Row],[Month]],1),#N/A)</f>
        <v>42767</v>
      </c>
      <c r="Y22" s="1">
        <f>IF(OR(Table1[[#This Row],[Type (TX, RX, TRX, Oscillator)]]="TRX", Table1[[#This Row],[Type (TX, RX, TRX, Oscillator)]]="TRX FE"),Table1[[#This Row],[Total Number of Elements (TX + RX)]],#N/A)</f>
        <v>128</v>
      </c>
      <c r="Z22" s="1" t="e">
        <f t="shared" si="14"/>
        <v>#N/A</v>
      </c>
      <c r="AA22" s="1">
        <f t="shared" si="15"/>
        <v>128</v>
      </c>
      <c r="AB22" s="1" t="e">
        <f t="shared" si="16"/>
        <v>#N/A</v>
      </c>
      <c r="AC22" s="1" t="e">
        <f t="shared" si="17"/>
        <v>#N/A</v>
      </c>
      <c r="AD22" s="1" t="e">
        <f t="shared" si="18"/>
        <v>#N/A</v>
      </c>
      <c r="AE22" s="1" t="e">
        <f t="shared" si="19"/>
        <v>#N/A</v>
      </c>
      <c r="AF22" s="1" t="e">
        <f t="shared" si="20"/>
        <v>#N/A</v>
      </c>
      <c r="AH22" s="1" t="e">
        <f>IF(Table1[[#This Row],[Type (TX, RX, TRX, Oscillator)]]="Oscillator",Table1[[#This Row],[Frequency (GHz)]],#N/A)</f>
        <v>#N/A</v>
      </c>
      <c r="AI22" s="30" t="e">
        <f>IF(Table1[[#This Row],[Type (TX, RX, TRX, Oscillator)]]="Oscillator",DATE(Table1[[#This Row],[Year ]],Table1[[#This Row],[Month]],1),#N/A)</f>
        <v>#N/A</v>
      </c>
      <c r="AJ22" s="1" t="e">
        <f>IF(Table1[[#This Row],[Type (TX, RX, TRX, Oscillator)]]="Oscillator",Table1[[#This Row],[Total Number of Elements (TX + RX)]],#N/A)</f>
        <v>#N/A</v>
      </c>
      <c r="AK22" s="1" t="e">
        <f t="shared" si="21"/>
        <v>#N/A</v>
      </c>
      <c r="AL22" s="1" t="e">
        <f t="shared" si="22"/>
        <v>#N/A</v>
      </c>
      <c r="AM22" s="1" t="e">
        <f t="shared" si="23"/>
        <v>#N/A</v>
      </c>
      <c r="AN22" s="1" t="e">
        <f t="shared" si="24"/>
        <v>#N/A</v>
      </c>
      <c r="AO22" s="1" t="e">
        <f t="shared" si="25"/>
        <v>#N/A</v>
      </c>
      <c r="AP22" s="1" t="e">
        <f t="shared" si="26"/>
        <v>#N/A</v>
      </c>
      <c r="AQ22" s="1" t="e">
        <f t="shared" si="27"/>
        <v>#N/A</v>
      </c>
      <c r="AS22" s="1" t="e">
        <f>IF(Table1[[#This Row],[Type (TX, RX, TRX, Oscillator)]]="Relay",Table1[[#This Row],[Frequency (GHz)]],#N/A)</f>
        <v>#N/A</v>
      </c>
      <c r="AT22" s="30" t="e">
        <f>IF(Table1[[#This Row],[Type (TX, RX, TRX, Oscillator)]]="Relay",DATE(Table1[[#This Row],[Year ]],Table1[[#This Row],[Month]],1),#N/A)</f>
        <v>#N/A</v>
      </c>
      <c r="AU22" s="1" t="e">
        <f>IF(Table1[[#This Row],[Type (TX, RX, TRX, Oscillator)]]="Relay",Table1[[#This Row],[Total Number of Elements (TX + RX)]],#N/A)</f>
        <v>#N/A</v>
      </c>
      <c r="AV22" s="1" t="e">
        <f t="shared" si="28"/>
        <v>#N/A</v>
      </c>
      <c r="AW22" s="1" t="e">
        <f t="shared" si="29"/>
        <v>#N/A</v>
      </c>
      <c r="AX22" s="1" t="e">
        <f t="shared" si="30"/>
        <v>#N/A</v>
      </c>
      <c r="AY22" s="1" t="e">
        <f t="shared" si="31"/>
        <v>#N/A</v>
      </c>
      <c r="AZ22" s="1" t="e">
        <f t="shared" si="32"/>
        <v>#N/A</v>
      </c>
      <c r="BA22" s="1" t="e">
        <f t="shared" si="33"/>
        <v>#N/A</v>
      </c>
      <c r="BB22" s="1" t="e">
        <f t="shared" si="34"/>
        <v>#N/A</v>
      </c>
    </row>
    <row r="23" spans="1:54" x14ac:dyDescent="0.2">
      <c r="A23" s="1">
        <f>IF(OR(Table1[[#This Row],[Type (TX, RX, TRX, Oscillator)]]="TX", Table1[[#This Row],[Type (TX, RX, TRX, Oscillator)]]="TX FE"),Table1[[#This Row],[Frequency (GHz)]],#N/A)</f>
        <v>290</v>
      </c>
      <c r="B23" s="30">
        <f>IF(OR(Table1[[#This Row],[Type (TX, RX, TRX, Oscillator)]]="TX", Table1[[#This Row],[Type (TX, RX, TRX, Oscillator)]]="TX FE"),DATE(Table1[[#This Row],[Year ]],Table1[[#This Row],[Month]],1),#N/A)</f>
        <v>42767</v>
      </c>
      <c r="C23" s="1">
        <f>IF(OR(Table1[[#This Row],[Type (TX, RX, TRX, Oscillator)]]="TX",Table1[[#This Row],[Type (TX, RX, TRX, Oscillator)]]="TX FE"),Table1[[#This Row],[Total Number of Elements (TX + RX)]],#N/A)</f>
        <v>1</v>
      </c>
      <c r="D23" s="1" t="e">
        <f t="shared" si="0"/>
        <v>#N/A</v>
      </c>
      <c r="E23" s="1" t="e">
        <f t="shared" si="1"/>
        <v>#N/A</v>
      </c>
      <c r="F23" s="1" t="e">
        <f t="shared" si="2"/>
        <v>#N/A</v>
      </c>
      <c r="G23" s="1" t="e">
        <f t="shared" si="3"/>
        <v>#N/A</v>
      </c>
      <c r="H23" s="1" t="e">
        <f t="shared" si="4"/>
        <v>#N/A</v>
      </c>
      <c r="I23" s="1" t="e">
        <f t="shared" si="5"/>
        <v>#N/A</v>
      </c>
      <c r="J23" s="1">
        <f t="shared" si="6"/>
        <v>1</v>
      </c>
      <c r="L23" s="1" t="e">
        <f>IF(OR(Table1[[#This Row],[Type (TX, RX, TRX, Oscillator)]]="RX", Table1[[#This Row],[Type (TX, RX, TRX, Oscillator)]]="RX FE"),Table1[[#This Row],[Frequency (GHz)]],#N/A)</f>
        <v>#N/A</v>
      </c>
      <c r="M23" s="30" t="e">
        <f>IF(OR(Table1[[#This Row],[Type (TX, RX, TRX, Oscillator)]]="RX", Table1[[#This Row],[Type (TX, RX, TRX, Oscillator)]]="RX FE"),DATE(Table1[[#This Row],[Year ]],Table1[[#This Row],[Month]],1),#N/A)</f>
        <v>#N/A</v>
      </c>
      <c r="N23" s="1" t="e">
        <f>IF(OR(Table1[[#This Row],[Type (TX, RX, TRX, Oscillator)]]="RX", Table1[[#This Row],[Type (TX, RX, TRX, Oscillator)]]="RX FE"),Table1[[#This Row],[Total Number of Elements (TX + RX)]],#N/A)</f>
        <v>#N/A</v>
      </c>
      <c r="O23" s="1" t="e">
        <f t="shared" si="7"/>
        <v>#N/A</v>
      </c>
      <c r="P23" s="1" t="e">
        <f t="shared" si="8"/>
        <v>#N/A</v>
      </c>
      <c r="Q23" s="1" t="e">
        <f t="shared" si="9"/>
        <v>#N/A</v>
      </c>
      <c r="R23" s="1" t="e">
        <f t="shared" si="10"/>
        <v>#N/A</v>
      </c>
      <c r="S23" s="1" t="e">
        <f t="shared" si="11"/>
        <v>#N/A</v>
      </c>
      <c r="T23" s="1" t="e">
        <f t="shared" si="12"/>
        <v>#N/A</v>
      </c>
      <c r="U23" s="1" t="e">
        <f t="shared" si="13"/>
        <v>#N/A</v>
      </c>
      <c r="W23" s="1" t="e">
        <f>IF(OR(Table1[[#This Row],[Type (TX, RX, TRX, Oscillator)]]="TRX",Table1[[#This Row],[Type (TX, RX, TRX, Oscillator)]]="TRX FE"),Table1[[#This Row],[Frequency (GHz)]],#N/A)</f>
        <v>#N/A</v>
      </c>
      <c r="X23" s="30" t="e">
        <f>IF(OR(Table1[[#This Row],[Type (TX, RX, TRX, Oscillator)]]="TRX", Table1[[#This Row],[Type (TX, RX, TRX, Oscillator)]]="TRX FE"),DATE(Table1[[#This Row],[Year ]],Table1[[#This Row],[Month]],1),#N/A)</f>
        <v>#N/A</v>
      </c>
      <c r="Y23" s="1" t="e">
        <f>IF(OR(Table1[[#This Row],[Type (TX, RX, TRX, Oscillator)]]="TRX", Table1[[#This Row],[Type (TX, RX, TRX, Oscillator)]]="TRX FE"),Table1[[#This Row],[Total Number of Elements (TX + RX)]],#N/A)</f>
        <v>#N/A</v>
      </c>
      <c r="Z23" s="1" t="e">
        <f t="shared" si="14"/>
        <v>#N/A</v>
      </c>
      <c r="AA23" s="1" t="e">
        <f t="shared" si="15"/>
        <v>#N/A</v>
      </c>
      <c r="AB23" s="1" t="e">
        <f t="shared" si="16"/>
        <v>#N/A</v>
      </c>
      <c r="AC23" s="1" t="e">
        <f t="shared" si="17"/>
        <v>#N/A</v>
      </c>
      <c r="AD23" s="1" t="e">
        <f t="shared" si="18"/>
        <v>#N/A</v>
      </c>
      <c r="AE23" s="1" t="e">
        <f t="shared" si="19"/>
        <v>#N/A</v>
      </c>
      <c r="AF23" s="1" t="e">
        <f t="shared" si="20"/>
        <v>#N/A</v>
      </c>
      <c r="AH23" s="1" t="e">
        <f>IF(Table1[[#This Row],[Type (TX, RX, TRX, Oscillator)]]="Oscillator",Table1[[#This Row],[Frequency (GHz)]],#N/A)</f>
        <v>#N/A</v>
      </c>
      <c r="AI23" s="30" t="e">
        <f>IF(Table1[[#This Row],[Type (TX, RX, TRX, Oscillator)]]="Oscillator",DATE(Table1[[#This Row],[Year ]],Table1[[#This Row],[Month]],1),#N/A)</f>
        <v>#N/A</v>
      </c>
      <c r="AJ23" s="1" t="e">
        <f>IF(Table1[[#This Row],[Type (TX, RX, TRX, Oscillator)]]="Oscillator",Table1[[#This Row],[Total Number of Elements (TX + RX)]],#N/A)</f>
        <v>#N/A</v>
      </c>
      <c r="AK23" s="1" t="e">
        <f t="shared" si="21"/>
        <v>#N/A</v>
      </c>
      <c r="AL23" s="1" t="e">
        <f t="shared" si="22"/>
        <v>#N/A</v>
      </c>
      <c r="AM23" s="1" t="e">
        <f t="shared" si="23"/>
        <v>#N/A</v>
      </c>
      <c r="AN23" s="1" t="e">
        <f t="shared" si="24"/>
        <v>#N/A</v>
      </c>
      <c r="AO23" s="1" t="e">
        <f t="shared" si="25"/>
        <v>#N/A</v>
      </c>
      <c r="AP23" s="1" t="e">
        <f t="shared" si="26"/>
        <v>#N/A</v>
      </c>
      <c r="AQ23" s="1" t="e">
        <f t="shared" si="27"/>
        <v>#N/A</v>
      </c>
      <c r="AS23" s="1" t="e">
        <f>IF(Table1[[#This Row],[Type (TX, RX, TRX, Oscillator)]]="Relay",Table1[[#This Row],[Frequency (GHz)]],#N/A)</f>
        <v>#N/A</v>
      </c>
      <c r="AT23" s="30" t="e">
        <f>IF(Table1[[#This Row],[Type (TX, RX, TRX, Oscillator)]]="Relay",DATE(Table1[[#This Row],[Year ]],Table1[[#This Row],[Month]],1),#N/A)</f>
        <v>#N/A</v>
      </c>
      <c r="AU23" s="1" t="e">
        <f>IF(Table1[[#This Row],[Type (TX, RX, TRX, Oscillator)]]="Relay",Table1[[#This Row],[Total Number of Elements (TX + RX)]],#N/A)</f>
        <v>#N/A</v>
      </c>
      <c r="AV23" s="1" t="e">
        <f t="shared" si="28"/>
        <v>#N/A</v>
      </c>
      <c r="AW23" s="1" t="e">
        <f t="shared" si="29"/>
        <v>#N/A</v>
      </c>
      <c r="AX23" s="1" t="e">
        <f t="shared" si="30"/>
        <v>#N/A</v>
      </c>
      <c r="AY23" s="1" t="e">
        <f t="shared" si="31"/>
        <v>#N/A</v>
      </c>
      <c r="AZ23" s="1" t="e">
        <f t="shared" si="32"/>
        <v>#N/A</v>
      </c>
      <c r="BA23" s="1" t="e">
        <f t="shared" si="33"/>
        <v>#N/A</v>
      </c>
      <c r="BB23" s="1" t="e">
        <f t="shared" si="34"/>
        <v>#N/A</v>
      </c>
    </row>
    <row r="24" spans="1:54" x14ac:dyDescent="0.2">
      <c r="A24" s="1" t="e">
        <f>IF(OR(Table1[[#This Row],[Type (TX, RX, TRX, Oscillator)]]="TX", Table1[[#This Row],[Type (TX, RX, TRX, Oscillator)]]="TX FE"),Table1[[#This Row],[Frequency (GHz)]],#N/A)</f>
        <v>#N/A</v>
      </c>
      <c r="B24" s="30" t="e">
        <f>IF(OR(Table1[[#This Row],[Type (TX, RX, TRX, Oscillator)]]="TX", Table1[[#This Row],[Type (TX, RX, TRX, Oscillator)]]="TX FE"),DATE(Table1[[#This Row],[Year ]],Table1[[#This Row],[Month]],1),#N/A)</f>
        <v>#N/A</v>
      </c>
      <c r="C24" s="1" t="e">
        <f>IF(OR(Table1[[#This Row],[Type (TX, RX, TRX, Oscillator)]]="TX",Table1[[#This Row],[Type (TX, RX, TRX, Oscillator)]]="TX FE"),Table1[[#This Row],[Total Number of Elements (TX + RX)]],#N/A)</f>
        <v>#N/A</v>
      </c>
      <c r="D24" s="1" t="e">
        <f t="shared" si="0"/>
        <v>#N/A</v>
      </c>
      <c r="E24" s="1" t="e">
        <f t="shared" si="1"/>
        <v>#N/A</v>
      </c>
      <c r="F24" s="1" t="e">
        <f t="shared" si="2"/>
        <v>#N/A</v>
      </c>
      <c r="G24" s="1" t="e">
        <f t="shared" si="3"/>
        <v>#N/A</v>
      </c>
      <c r="H24" s="1" t="e">
        <f t="shared" si="4"/>
        <v>#N/A</v>
      </c>
      <c r="I24" s="1" t="e">
        <f t="shared" si="5"/>
        <v>#N/A</v>
      </c>
      <c r="J24" s="1" t="e">
        <f t="shared" si="6"/>
        <v>#N/A</v>
      </c>
      <c r="L24" s="1">
        <f>IF(OR(Table1[[#This Row],[Type (TX, RX, TRX, Oscillator)]]="RX", Table1[[#This Row],[Type (TX, RX, TRX, Oscillator)]]="RX FE"),Table1[[#This Row],[Frequency (GHz)]],#N/A)</f>
        <v>290</v>
      </c>
      <c r="M24" s="30">
        <f>IF(OR(Table1[[#This Row],[Type (TX, RX, TRX, Oscillator)]]="RX", Table1[[#This Row],[Type (TX, RX, TRX, Oscillator)]]="RX FE"),DATE(Table1[[#This Row],[Year ]],Table1[[#This Row],[Month]],1),#N/A)</f>
        <v>42767</v>
      </c>
      <c r="N24" s="1">
        <f>IF(OR(Table1[[#This Row],[Type (TX, RX, TRX, Oscillator)]]="RX", Table1[[#This Row],[Type (TX, RX, TRX, Oscillator)]]="RX FE"),Table1[[#This Row],[Total Number of Elements (TX + RX)]],#N/A)</f>
        <v>1</v>
      </c>
      <c r="O24" s="1" t="e">
        <f t="shared" si="7"/>
        <v>#N/A</v>
      </c>
      <c r="P24" s="1" t="e">
        <f t="shared" si="8"/>
        <v>#N/A</v>
      </c>
      <c r="Q24" s="1" t="e">
        <f t="shared" si="9"/>
        <v>#N/A</v>
      </c>
      <c r="R24" s="1" t="e">
        <f t="shared" si="10"/>
        <v>#N/A</v>
      </c>
      <c r="S24" s="1" t="e">
        <f t="shared" si="11"/>
        <v>#N/A</v>
      </c>
      <c r="T24" s="1" t="e">
        <f t="shared" si="12"/>
        <v>#N/A</v>
      </c>
      <c r="U24" s="1">
        <f t="shared" si="13"/>
        <v>1</v>
      </c>
      <c r="W24" s="1" t="e">
        <f>IF(OR(Table1[[#This Row],[Type (TX, RX, TRX, Oscillator)]]="TRX",Table1[[#This Row],[Type (TX, RX, TRX, Oscillator)]]="TRX FE"),Table1[[#This Row],[Frequency (GHz)]],#N/A)</f>
        <v>#N/A</v>
      </c>
      <c r="X24" s="30" t="e">
        <f>IF(OR(Table1[[#This Row],[Type (TX, RX, TRX, Oscillator)]]="TRX", Table1[[#This Row],[Type (TX, RX, TRX, Oscillator)]]="TRX FE"),DATE(Table1[[#This Row],[Year ]],Table1[[#This Row],[Month]],1),#N/A)</f>
        <v>#N/A</v>
      </c>
      <c r="Y24" s="1" t="e">
        <f>IF(OR(Table1[[#This Row],[Type (TX, RX, TRX, Oscillator)]]="TRX", Table1[[#This Row],[Type (TX, RX, TRX, Oscillator)]]="TRX FE"),Table1[[#This Row],[Total Number of Elements (TX + RX)]],#N/A)</f>
        <v>#N/A</v>
      </c>
      <c r="Z24" s="1" t="e">
        <f t="shared" si="14"/>
        <v>#N/A</v>
      </c>
      <c r="AA24" s="1" t="e">
        <f t="shared" si="15"/>
        <v>#N/A</v>
      </c>
      <c r="AB24" s="1" t="e">
        <f t="shared" si="16"/>
        <v>#N/A</v>
      </c>
      <c r="AC24" s="1" t="e">
        <f t="shared" si="17"/>
        <v>#N/A</v>
      </c>
      <c r="AD24" s="1" t="e">
        <f t="shared" si="18"/>
        <v>#N/A</v>
      </c>
      <c r="AE24" s="1" t="e">
        <f t="shared" si="19"/>
        <v>#N/A</v>
      </c>
      <c r="AF24" s="1" t="e">
        <f t="shared" si="20"/>
        <v>#N/A</v>
      </c>
      <c r="AH24" s="1" t="e">
        <f>IF(Table1[[#This Row],[Type (TX, RX, TRX, Oscillator)]]="Oscillator",Table1[[#This Row],[Frequency (GHz)]],#N/A)</f>
        <v>#N/A</v>
      </c>
      <c r="AI24" s="30" t="e">
        <f>IF(Table1[[#This Row],[Type (TX, RX, TRX, Oscillator)]]="Oscillator",DATE(Table1[[#This Row],[Year ]],Table1[[#This Row],[Month]],1),#N/A)</f>
        <v>#N/A</v>
      </c>
      <c r="AJ24" s="1" t="e">
        <f>IF(Table1[[#This Row],[Type (TX, RX, TRX, Oscillator)]]="Oscillator",Table1[[#This Row],[Total Number of Elements (TX + RX)]],#N/A)</f>
        <v>#N/A</v>
      </c>
      <c r="AK24" s="1" t="e">
        <f t="shared" si="21"/>
        <v>#N/A</v>
      </c>
      <c r="AL24" s="1" t="e">
        <f t="shared" si="22"/>
        <v>#N/A</v>
      </c>
      <c r="AM24" s="1" t="e">
        <f t="shared" si="23"/>
        <v>#N/A</v>
      </c>
      <c r="AN24" s="1" t="e">
        <f t="shared" si="24"/>
        <v>#N/A</v>
      </c>
      <c r="AO24" s="1" t="e">
        <f t="shared" si="25"/>
        <v>#N/A</v>
      </c>
      <c r="AP24" s="1" t="e">
        <f t="shared" si="26"/>
        <v>#N/A</v>
      </c>
      <c r="AQ24" s="1" t="e">
        <f t="shared" si="27"/>
        <v>#N/A</v>
      </c>
      <c r="AS24" s="1" t="e">
        <f>IF(Table1[[#This Row],[Type (TX, RX, TRX, Oscillator)]]="Relay",Table1[[#This Row],[Frequency (GHz)]],#N/A)</f>
        <v>#N/A</v>
      </c>
      <c r="AT24" s="30" t="e">
        <f>IF(Table1[[#This Row],[Type (TX, RX, TRX, Oscillator)]]="Relay",DATE(Table1[[#This Row],[Year ]],Table1[[#This Row],[Month]],1),#N/A)</f>
        <v>#N/A</v>
      </c>
      <c r="AU24" s="1" t="e">
        <f>IF(Table1[[#This Row],[Type (TX, RX, TRX, Oscillator)]]="Relay",Table1[[#This Row],[Total Number of Elements (TX + RX)]],#N/A)</f>
        <v>#N/A</v>
      </c>
      <c r="AV24" s="1" t="e">
        <f t="shared" si="28"/>
        <v>#N/A</v>
      </c>
      <c r="AW24" s="1" t="e">
        <f t="shared" si="29"/>
        <v>#N/A</v>
      </c>
      <c r="AX24" s="1" t="e">
        <f t="shared" si="30"/>
        <v>#N/A</v>
      </c>
      <c r="AY24" s="1" t="e">
        <f t="shared" si="31"/>
        <v>#N/A</v>
      </c>
      <c r="AZ24" s="1" t="e">
        <f t="shared" si="32"/>
        <v>#N/A</v>
      </c>
      <c r="BA24" s="1" t="e">
        <f t="shared" si="33"/>
        <v>#N/A</v>
      </c>
      <c r="BB24" s="1" t="e">
        <f t="shared" si="34"/>
        <v>#N/A</v>
      </c>
    </row>
    <row r="25" spans="1:54" x14ac:dyDescent="0.2">
      <c r="A25" s="1" t="e">
        <f>IF(OR(Table1[[#This Row],[Type (TX, RX, TRX, Oscillator)]]="TX", Table1[[#This Row],[Type (TX, RX, TRX, Oscillator)]]="TX FE"),Table1[[#This Row],[Frequency (GHz)]],#N/A)</f>
        <v>#N/A</v>
      </c>
      <c r="B25" s="30" t="e">
        <f>IF(OR(Table1[[#This Row],[Type (TX, RX, TRX, Oscillator)]]="TX", Table1[[#This Row],[Type (TX, RX, TRX, Oscillator)]]="TX FE"),DATE(Table1[[#This Row],[Year ]],Table1[[#This Row],[Month]],1),#N/A)</f>
        <v>#N/A</v>
      </c>
      <c r="C25" s="1" t="e">
        <f>IF(OR(Table1[[#This Row],[Type (TX, RX, TRX, Oscillator)]]="TX",Table1[[#This Row],[Type (TX, RX, TRX, Oscillator)]]="TX FE"),Table1[[#This Row],[Total Number of Elements (TX + RX)]],#N/A)</f>
        <v>#N/A</v>
      </c>
      <c r="D25" s="1" t="e">
        <f t="shared" si="0"/>
        <v>#N/A</v>
      </c>
      <c r="E25" s="1" t="e">
        <f t="shared" si="1"/>
        <v>#N/A</v>
      </c>
      <c r="F25" s="1" t="e">
        <f t="shared" si="2"/>
        <v>#N/A</v>
      </c>
      <c r="G25" s="1" t="e">
        <f t="shared" si="3"/>
        <v>#N/A</v>
      </c>
      <c r="H25" s="1" t="e">
        <f t="shared" si="4"/>
        <v>#N/A</v>
      </c>
      <c r="I25" s="1" t="e">
        <f t="shared" si="5"/>
        <v>#N/A</v>
      </c>
      <c r="J25" s="1" t="e">
        <f t="shared" si="6"/>
        <v>#N/A</v>
      </c>
      <c r="L25" s="1" t="e">
        <f>IF(OR(Table1[[#This Row],[Type (TX, RX, TRX, Oscillator)]]="RX", Table1[[#This Row],[Type (TX, RX, TRX, Oscillator)]]="RX FE"),Table1[[#This Row],[Frequency (GHz)]],#N/A)</f>
        <v>#N/A</v>
      </c>
      <c r="M25" s="30" t="e">
        <f>IF(OR(Table1[[#This Row],[Type (TX, RX, TRX, Oscillator)]]="RX", Table1[[#This Row],[Type (TX, RX, TRX, Oscillator)]]="RX FE"),DATE(Table1[[#This Row],[Year ]],Table1[[#This Row],[Month]],1),#N/A)</f>
        <v>#N/A</v>
      </c>
      <c r="N25" s="1" t="e">
        <f>IF(OR(Table1[[#This Row],[Type (TX, RX, TRX, Oscillator)]]="RX", Table1[[#This Row],[Type (TX, RX, TRX, Oscillator)]]="RX FE"),Table1[[#This Row],[Total Number of Elements (TX + RX)]],#N/A)</f>
        <v>#N/A</v>
      </c>
      <c r="O25" s="1" t="e">
        <f t="shared" si="7"/>
        <v>#N/A</v>
      </c>
      <c r="P25" s="1" t="e">
        <f t="shared" si="8"/>
        <v>#N/A</v>
      </c>
      <c r="Q25" s="1" t="e">
        <f t="shared" si="9"/>
        <v>#N/A</v>
      </c>
      <c r="R25" s="1" t="e">
        <f t="shared" si="10"/>
        <v>#N/A</v>
      </c>
      <c r="S25" s="1" t="e">
        <f t="shared" si="11"/>
        <v>#N/A</v>
      </c>
      <c r="T25" s="1" t="e">
        <f t="shared" si="12"/>
        <v>#N/A</v>
      </c>
      <c r="U25" s="1" t="e">
        <f t="shared" si="13"/>
        <v>#N/A</v>
      </c>
      <c r="W25" s="1" t="e">
        <f>IF(OR(Table1[[#This Row],[Type (TX, RX, TRX, Oscillator)]]="TRX",Table1[[#This Row],[Type (TX, RX, TRX, Oscillator)]]="TRX FE"),Table1[[#This Row],[Frequency (GHz)]],#N/A)</f>
        <v>#N/A</v>
      </c>
      <c r="X25" s="30" t="e">
        <f>IF(OR(Table1[[#This Row],[Type (TX, RX, TRX, Oscillator)]]="TRX", Table1[[#This Row],[Type (TX, RX, TRX, Oscillator)]]="TRX FE"),DATE(Table1[[#This Row],[Year ]],Table1[[#This Row],[Month]],1),#N/A)</f>
        <v>#N/A</v>
      </c>
      <c r="Y25" s="1" t="e">
        <f>IF(OR(Table1[[#This Row],[Type (TX, RX, TRX, Oscillator)]]="TRX", Table1[[#This Row],[Type (TX, RX, TRX, Oscillator)]]="TRX FE"),Table1[[#This Row],[Total Number of Elements (TX + RX)]],#N/A)</f>
        <v>#N/A</v>
      </c>
      <c r="Z25" s="1" t="e">
        <f t="shared" si="14"/>
        <v>#N/A</v>
      </c>
      <c r="AA25" s="1" t="e">
        <f t="shared" si="15"/>
        <v>#N/A</v>
      </c>
      <c r="AB25" s="1" t="e">
        <f t="shared" si="16"/>
        <v>#N/A</v>
      </c>
      <c r="AC25" s="1" t="e">
        <f t="shared" si="17"/>
        <v>#N/A</v>
      </c>
      <c r="AD25" s="1" t="e">
        <f t="shared" si="18"/>
        <v>#N/A</v>
      </c>
      <c r="AE25" s="1" t="e">
        <f t="shared" si="19"/>
        <v>#N/A</v>
      </c>
      <c r="AF25" s="1" t="e">
        <f t="shared" si="20"/>
        <v>#N/A</v>
      </c>
      <c r="AH25" s="1">
        <f>IF(Table1[[#This Row],[Type (TX, RX, TRX, Oscillator)]]="Oscillator",Table1[[#This Row],[Frequency (GHz)]],#N/A)</f>
        <v>320</v>
      </c>
      <c r="AI25" s="30">
        <f>IF(Table1[[#This Row],[Type (TX, RX, TRX, Oscillator)]]="Oscillator",DATE(Table1[[#This Row],[Year ]],Table1[[#This Row],[Month]],1),#N/A)</f>
        <v>42826</v>
      </c>
      <c r="AJ25" s="1">
        <f>IF(Table1[[#This Row],[Type (TX, RX, TRX, Oscillator)]]="Oscillator",Table1[[#This Row],[Total Number of Elements (TX + RX)]],#N/A)</f>
        <v>2</v>
      </c>
      <c r="AK25" s="1" t="e">
        <f t="shared" si="21"/>
        <v>#N/A</v>
      </c>
      <c r="AL25" s="1" t="e">
        <f t="shared" si="22"/>
        <v>#N/A</v>
      </c>
      <c r="AM25" s="1" t="e">
        <f t="shared" si="23"/>
        <v>#N/A</v>
      </c>
      <c r="AN25" s="1" t="e">
        <f t="shared" si="24"/>
        <v>#N/A</v>
      </c>
      <c r="AO25" s="1" t="e">
        <f t="shared" si="25"/>
        <v>#N/A</v>
      </c>
      <c r="AP25" s="1" t="e">
        <f t="shared" si="26"/>
        <v>#N/A</v>
      </c>
      <c r="AQ25" s="1">
        <f t="shared" si="27"/>
        <v>2</v>
      </c>
      <c r="AS25" s="1" t="e">
        <f>IF(Table1[[#This Row],[Type (TX, RX, TRX, Oscillator)]]="Relay",Table1[[#This Row],[Frequency (GHz)]],#N/A)</f>
        <v>#N/A</v>
      </c>
      <c r="AT25" s="30" t="e">
        <f>IF(Table1[[#This Row],[Type (TX, RX, TRX, Oscillator)]]="Relay",DATE(Table1[[#This Row],[Year ]],Table1[[#This Row],[Month]],1),#N/A)</f>
        <v>#N/A</v>
      </c>
      <c r="AU25" s="1" t="e">
        <f>IF(Table1[[#This Row],[Type (TX, RX, TRX, Oscillator)]]="Relay",Table1[[#This Row],[Total Number of Elements (TX + RX)]],#N/A)</f>
        <v>#N/A</v>
      </c>
      <c r="AV25" s="1" t="e">
        <f t="shared" si="28"/>
        <v>#N/A</v>
      </c>
      <c r="AW25" s="1" t="e">
        <f t="shared" si="29"/>
        <v>#N/A</v>
      </c>
      <c r="AX25" s="1" t="e">
        <f t="shared" si="30"/>
        <v>#N/A</v>
      </c>
      <c r="AY25" s="1" t="e">
        <f t="shared" si="31"/>
        <v>#N/A</v>
      </c>
      <c r="AZ25" s="1" t="e">
        <f t="shared" si="32"/>
        <v>#N/A</v>
      </c>
      <c r="BA25" s="1" t="e">
        <f t="shared" si="33"/>
        <v>#N/A</v>
      </c>
      <c r="BB25" s="1" t="e">
        <f t="shared" si="34"/>
        <v>#N/A</v>
      </c>
    </row>
    <row r="26" spans="1:54" x14ac:dyDescent="0.2">
      <c r="A26" s="1" t="e">
        <f>IF(OR(Table1[[#This Row],[Type (TX, RX, TRX, Oscillator)]]="TX", Table1[[#This Row],[Type (TX, RX, TRX, Oscillator)]]="TX FE"),Table1[[#This Row],[Frequency (GHz)]],#N/A)</f>
        <v>#N/A</v>
      </c>
      <c r="B26" s="30" t="e">
        <f>IF(OR(Table1[[#This Row],[Type (TX, RX, TRX, Oscillator)]]="TX", Table1[[#This Row],[Type (TX, RX, TRX, Oscillator)]]="TX FE"),DATE(Table1[[#This Row],[Year ]],Table1[[#This Row],[Month]],1),#N/A)</f>
        <v>#N/A</v>
      </c>
      <c r="C26" s="1" t="e">
        <f>IF(OR(Table1[[#This Row],[Type (TX, RX, TRX, Oscillator)]]="TX",Table1[[#This Row],[Type (TX, RX, TRX, Oscillator)]]="TX FE"),Table1[[#This Row],[Total Number of Elements (TX + RX)]],#N/A)</f>
        <v>#N/A</v>
      </c>
      <c r="D26" s="1" t="e">
        <f t="shared" si="0"/>
        <v>#N/A</v>
      </c>
      <c r="E26" s="1" t="e">
        <f t="shared" si="1"/>
        <v>#N/A</v>
      </c>
      <c r="F26" s="1" t="e">
        <f t="shared" si="2"/>
        <v>#N/A</v>
      </c>
      <c r="G26" s="1" t="e">
        <f t="shared" si="3"/>
        <v>#N/A</v>
      </c>
      <c r="H26" s="1" t="e">
        <f t="shared" si="4"/>
        <v>#N/A</v>
      </c>
      <c r="I26" s="1" t="e">
        <f t="shared" si="5"/>
        <v>#N/A</v>
      </c>
      <c r="J26" s="1" t="e">
        <f t="shared" si="6"/>
        <v>#N/A</v>
      </c>
      <c r="L26" s="1" t="e">
        <f>IF(OR(Table1[[#This Row],[Type (TX, RX, TRX, Oscillator)]]="RX", Table1[[#This Row],[Type (TX, RX, TRX, Oscillator)]]="RX FE"),Table1[[#This Row],[Frequency (GHz)]],#N/A)</f>
        <v>#N/A</v>
      </c>
      <c r="M26" s="30" t="e">
        <f>IF(OR(Table1[[#This Row],[Type (TX, RX, TRX, Oscillator)]]="RX", Table1[[#This Row],[Type (TX, RX, TRX, Oscillator)]]="RX FE"),DATE(Table1[[#This Row],[Year ]],Table1[[#This Row],[Month]],1),#N/A)</f>
        <v>#N/A</v>
      </c>
      <c r="N26" s="1" t="e">
        <f>IF(OR(Table1[[#This Row],[Type (TX, RX, TRX, Oscillator)]]="RX", Table1[[#This Row],[Type (TX, RX, TRX, Oscillator)]]="RX FE"),Table1[[#This Row],[Total Number of Elements (TX + RX)]],#N/A)</f>
        <v>#N/A</v>
      </c>
      <c r="O26" s="1" t="e">
        <f t="shared" si="7"/>
        <v>#N/A</v>
      </c>
      <c r="P26" s="1" t="e">
        <f t="shared" si="8"/>
        <v>#N/A</v>
      </c>
      <c r="Q26" s="1" t="e">
        <f t="shared" si="9"/>
        <v>#N/A</v>
      </c>
      <c r="R26" s="1" t="e">
        <f t="shared" si="10"/>
        <v>#N/A</v>
      </c>
      <c r="S26" s="1" t="e">
        <f t="shared" si="11"/>
        <v>#N/A</v>
      </c>
      <c r="T26" s="1" t="e">
        <f t="shared" si="12"/>
        <v>#N/A</v>
      </c>
      <c r="U26" s="1" t="e">
        <f t="shared" si="13"/>
        <v>#N/A</v>
      </c>
      <c r="W26" s="1">
        <f>IF(OR(Table1[[#This Row],[Type (TX, RX, TRX, Oscillator)]]="TRX",Table1[[#This Row],[Type (TX, RX, TRX, Oscillator)]]="TRX FE"),Table1[[#This Row],[Frequency (GHz)]],#N/A)</f>
        <v>70</v>
      </c>
      <c r="X26" s="30">
        <f>IF(OR(Table1[[#This Row],[Type (TX, RX, TRX, Oscillator)]]="TRX", Table1[[#This Row],[Type (TX, RX, TRX, Oscillator)]]="TRX FE"),DATE(Table1[[#This Row],[Year ]],Table1[[#This Row],[Month]],1),#N/A)</f>
        <v>43132</v>
      </c>
      <c r="Y26" s="1">
        <f>IF(OR(Table1[[#This Row],[Type (TX, RX, TRX, Oscillator)]]="TRX", Table1[[#This Row],[Type (TX, RX, TRX, Oscillator)]]="TRX FE"),Table1[[#This Row],[Total Number of Elements (TX + RX)]],#N/A)</f>
        <v>2</v>
      </c>
      <c r="Z26" s="1" t="e">
        <f t="shared" si="14"/>
        <v>#N/A</v>
      </c>
      <c r="AA26" s="1" t="e">
        <f t="shared" si="15"/>
        <v>#N/A</v>
      </c>
      <c r="AB26" s="1">
        <f t="shared" si="16"/>
        <v>2</v>
      </c>
      <c r="AC26" s="1" t="e">
        <f t="shared" si="17"/>
        <v>#N/A</v>
      </c>
      <c r="AD26" s="1" t="e">
        <f t="shared" si="18"/>
        <v>#N/A</v>
      </c>
      <c r="AE26" s="1" t="e">
        <f t="shared" si="19"/>
        <v>#N/A</v>
      </c>
      <c r="AF26" s="1" t="e">
        <f t="shared" si="20"/>
        <v>#N/A</v>
      </c>
      <c r="AH26" s="1" t="e">
        <f>IF(Table1[[#This Row],[Type (TX, RX, TRX, Oscillator)]]="Oscillator",Table1[[#This Row],[Frequency (GHz)]],#N/A)</f>
        <v>#N/A</v>
      </c>
      <c r="AI26" s="30" t="e">
        <f>IF(Table1[[#This Row],[Type (TX, RX, TRX, Oscillator)]]="Oscillator",DATE(Table1[[#This Row],[Year ]],Table1[[#This Row],[Month]],1),#N/A)</f>
        <v>#N/A</v>
      </c>
      <c r="AJ26" s="1" t="e">
        <f>IF(Table1[[#This Row],[Type (TX, RX, TRX, Oscillator)]]="Oscillator",Table1[[#This Row],[Total Number of Elements (TX + RX)]],#N/A)</f>
        <v>#N/A</v>
      </c>
      <c r="AK26" s="1" t="e">
        <f t="shared" si="21"/>
        <v>#N/A</v>
      </c>
      <c r="AL26" s="1" t="e">
        <f t="shared" si="22"/>
        <v>#N/A</v>
      </c>
      <c r="AM26" s="1" t="e">
        <f t="shared" si="23"/>
        <v>#N/A</v>
      </c>
      <c r="AN26" s="1" t="e">
        <f t="shared" si="24"/>
        <v>#N/A</v>
      </c>
      <c r="AO26" s="1" t="e">
        <f t="shared" si="25"/>
        <v>#N/A</v>
      </c>
      <c r="AP26" s="1" t="e">
        <f t="shared" si="26"/>
        <v>#N/A</v>
      </c>
      <c r="AQ26" s="1" t="e">
        <f t="shared" si="27"/>
        <v>#N/A</v>
      </c>
      <c r="AS26" s="1" t="e">
        <f>IF(Table1[[#This Row],[Type (TX, RX, TRX, Oscillator)]]="Relay",Table1[[#This Row],[Frequency (GHz)]],#N/A)</f>
        <v>#N/A</v>
      </c>
      <c r="AT26" s="30" t="e">
        <f>IF(Table1[[#This Row],[Type (TX, RX, TRX, Oscillator)]]="Relay",DATE(Table1[[#This Row],[Year ]],Table1[[#This Row],[Month]],1),#N/A)</f>
        <v>#N/A</v>
      </c>
      <c r="AU26" s="1" t="e">
        <f>IF(Table1[[#This Row],[Type (TX, RX, TRX, Oscillator)]]="Relay",Table1[[#This Row],[Total Number of Elements (TX + RX)]],#N/A)</f>
        <v>#N/A</v>
      </c>
      <c r="AV26" s="1" t="e">
        <f t="shared" si="28"/>
        <v>#N/A</v>
      </c>
      <c r="AW26" s="1" t="e">
        <f t="shared" si="29"/>
        <v>#N/A</v>
      </c>
      <c r="AX26" s="1" t="e">
        <f t="shared" si="30"/>
        <v>#N/A</v>
      </c>
      <c r="AY26" s="1" t="e">
        <f t="shared" si="31"/>
        <v>#N/A</v>
      </c>
      <c r="AZ26" s="1" t="e">
        <f t="shared" si="32"/>
        <v>#N/A</v>
      </c>
      <c r="BA26" s="1" t="e">
        <f t="shared" si="33"/>
        <v>#N/A</v>
      </c>
      <c r="BB26" s="1" t="e">
        <f t="shared" si="34"/>
        <v>#N/A</v>
      </c>
    </row>
    <row r="27" spans="1:54" x14ac:dyDescent="0.2">
      <c r="A27" s="1" t="e">
        <f>IF(OR(Table1[[#This Row],[Type (TX, RX, TRX, Oscillator)]]="TX", Table1[[#This Row],[Type (TX, RX, TRX, Oscillator)]]="TX FE"),Table1[[#This Row],[Frequency (GHz)]],#N/A)</f>
        <v>#N/A</v>
      </c>
      <c r="B27" s="30" t="e">
        <f>IF(OR(Table1[[#This Row],[Type (TX, RX, TRX, Oscillator)]]="TX", Table1[[#This Row],[Type (TX, RX, TRX, Oscillator)]]="TX FE"),DATE(Table1[[#This Row],[Year ]],Table1[[#This Row],[Month]],1),#N/A)</f>
        <v>#N/A</v>
      </c>
      <c r="C27" s="1" t="e">
        <f>IF(OR(Table1[[#This Row],[Type (TX, RX, TRX, Oscillator)]]="TX",Table1[[#This Row],[Type (TX, RX, TRX, Oscillator)]]="TX FE"),Table1[[#This Row],[Total Number of Elements (TX + RX)]],#N/A)</f>
        <v>#N/A</v>
      </c>
      <c r="D27" s="1" t="e">
        <f t="shared" si="0"/>
        <v>#N/A</v>
      </c>
      <c r="E27" s="1" t="e">
        <f t="shared" si="1"/>
        <v>#N/A</v>
      </c>
      <c r="F27" s="1" t="e">
        <f t="shared" si="2"/>
        <v>#N/A</v>
      </c>
      <c r="G27" s="1" t="e">
        <f t="shared" si="3"/>
        <v>#N/A</v>
      </c>
      <c r="H27" s="1" t="e">
        <f t="shared" si="4"/>
        <v>#N/A</v>
      </c>
      <c r="I27" s="1" t="e">
        <f t="shared" si="5"/>
        <v>#N/A</v>
      </c>
      <c r="J27" s="1" t="e">
        <f t="shared" si="6"/>
        <v>#N/A</v>
      </c>
      <c r="L27" s="1" t="e">
        <f>IF(OR(Table1[[#This Row],[Type (TX, RX, TRX, Oscillator)]]="RX", Table1[[#This Row],[Type (TX, RX, TRX, Oscillator)]]="RX FE"),Table1[[#This Row],[Frequency (GHz)]],#N/A)</f>
        <v>#N/A</v>
      </c>
      <c r="M27" s="30" t="e">
        <f>IF(OR(Table1[[#This Row],[Type (TX, RX, TRX, Oscillator)]]="RX", Table1[[#This Row],[Type (TX, RX, TRX, Oscillator)]]="RX FE"),DATE(Table1[[#This Row],[Year ]],Table1[[#This Row],[Month]],1),#N/A)</f>
        <v>#N/A</v>
      </c>
      <c r="N27" s="1" t="e">
        <f>IF(OR(Table1[[#This Row],[Type (TX, RX, TRX, Oscillator)]]="RX", Table1[[#This Row],[Type (TX, RX, TRX, Oscillator)]]="RX FE"),Table1[[#This Row],[Total Number of Elements (TX + RX)]],#N/A)</f>
        <v>#N/A</v>
      </c>
      <c r="O27" s="1" t="e">
        <f t="shared" si="7"/>
        <v>#N/A</v>
      </c>
      <c r="P27" s="1" t="e">
        <f t="shared" si="8"/>
        <v>#N/A</v>
      </c>
      <c r="Q27" s="1" t="e">
        <f t="shared" si="9"/>
        <v>#N/A</v>
      </c>
      <c r="R27" s="1" t="e">
        <f t="shared" si="10"/>
        <v>#N/A</v>
      </c>
      <c r="S27" s="1" t="e">
        <f t="shared" si="11"/>
        <v>#N/A</v>
      </c>
      <c r="T27" s="1" t="e">
        <f t="shared" si="12"/>
        <v>#N/A</v>
      </c>
      <c r="U27" s="1" t="e">
        <f t="shared" si="13"/>
        <v>#N/A</v>
      </c>
      <c r="W27" s="1">
        <f>IF(OR(Table1[[#This Row],[Type (TX, RX, TRX, Oscillator)]]="TRX",Table1[[#This Row],[Type (TX, RX, TRX, Oscillator)]]="TRX FE"),Table1[[#This Row],[Frequency (GHz)]],#N/A)</f>
        <v>105</v>
      </c>
      <c r="X27" s="30">
        <f>IF(OR(Table1[[#This Row],[Type (TX, RX, TRX, Oscillator)]]="TRX", Table1[[#This Row],[Type (TX, RX, TRX, Oscillator)]]="TRX FE"),DATE(Table1[[#This Row],[Year ]],Table1[[#This Row],[Month]],1),#N/A)</f>
        <v>43132</v>
      </c>
      <c r="Y27" s="1">
        <f>IF(OR(Table1[[#This Row],[Type (TX, RX, TRX, Oscillator)]]="TRX", Table1[[#This Row],[Type (TX, RX, TRX, Oscillator)]]="TRX FE"),Table1[[#This Row],[Total Number of Elements (TX + RX)]],#N/A)</f>
        <v>2</v>
      </c>
      <c r="Z27" s="1" t="e">
        <f t="shared" si="14"/>
        <v>#N/A</v>
      </c>
      <c r="AA27" s="1" t="e">
        <f t="shared" si="15"/>
        <v>#N/A</v>
      </c>
      <c r="AB27" s="1" t="e">
        <f t="shared" si="16"/>
        <v>#N/A</v>
      </c>
      <c r="AC27" s="1">
        <f t="shared" si="17"/>
        <v>2</v>
      </c>
      <c r="AD27" s="1" t="e">
        <f t="shared" si="18"/>
        <v>#N/A</v>
      </c>
      <c r="AE27" s="1" t="e">
        <f t="shared" si="19"/>
        <v>#N/A</v>
      </c>
      <c r="AF27" s="1" t="e">
        <f t="shared" si="20"/>
        <v>#N/A</v>
      </c>
      <c r="AH27" s="1" t="e">
        <f>IF(Table1[[#This Row],[Type (TX, RX, TRX, Oscillator)]]="Oscillator",Table1[[#This Row],[Frequency (GHz)]],#N/A)</f>
        <v>#N/A</v>
      </c>
      <c r="AI27" s="30" t="e">
        <f>IF(Table1[[#This Row],[Type (TX, RX, TRX, Oscillator)]]="Oscillator",DATE(Table1[[#This Row],[Year ]],Table1[[#This Row],[Month]],1),#N/A)</f>
        <v>#N/A</v>
      </c>
      <c r="AJ27" s="1" t="e">
        <f>IF(Table1[[#This Row],[Type (TX, RX, TRX, Oscillator)]]="Oscillator",Table1[[#This Row],[Total Number of Elements (TX + RX)]],#N/A)</f>
        <v>#N/A</v>
      </c>
      <c r="AK27" s="1" t="e">
        <f t="shared" si="21"/>
        <v>#N/A</v>
      </c>
      <c r="AL27" s="1" t="e">
        <f t="shared" si="22"/>
        <v>#N/A</v>
      </c>
      <c r="AM27" s="1" t="e">
        <f t="shared" si="23"/>
        <v>#N/A</v>
      </c>
      <c r="AN27" s="1" t="e">
        <f t="shared" si="24"/>
        <v>#N/A</v>
      </c>
      <c r="AO27" s="1" t="e">
        <f t="shared" si="25"/>
        <v>#N/A</v>
      </c>
      <c r="AP27" s="1" t="e">
        <f t="shared" si="26"/>
        <v>#N/A</v>
      </c>
      <c r="AQ27" s="1" t="e">
        <f t="shared" si="27"/>
        <v>#N/A</v>
      </c>
      <c r="AS27" s="1" t="e">
        <f>IF(Table1[[#This Row],[Type (TX, RX, TRX, Oscillator)]]="Relay",Table1[[#This Row],[Frequency (GHz)]],#N/A)</f>
        <v>#N/A</v>
      </c>
      <c r="AT27" s="30" t="e">
        <f>IF(Table1[[#This Row],[Type (TX, RX, TRX, Oscillator)]]="Relay",DATE(Table1[[#This Row],[Year ]],Table1[[#This Row],[Month]],1),#N/A)</f>
        <v>#N/A</v>
      </c>
      <c r="AU27" s="1" t="e">
        <f>IF(Table1[[#This Row],[Type (TX, RX, TRX, Oscillator)]]="Relay",Table1[[#This Row],[Total Number of Elements (TX + RX)]],#N/A)</f>
        <v>#N/A</v>
      </c>
      <c r="AV27" s="1" t="e">
        <f t="shared" si="28"/>
        <v>#N/A</v>
      </c>
      <c r="AW27" s="1" t="e">
        <f t="shared" si="29"/>
        <v>#N/A</v>
      </c>
      <c r="AX27" s="1" t="e">
        <f t="shared" si="30"/>
        <v>#N/A</v>
      </c>
      <c r="AY27" s="1" t="e">
        <f t="shared" si="31"/>
        <v>#N/A</v>
      </c>
      <c r="AZ27" s="1" t="e">
        <f t="shared" si="32"/>
        <v>#N/A</v>
      </c>
      <c r="BA27" s="1" t="e">
        <f t="shared" si="33"/>
        <v>#N/A</v>
      </c>
      <c r="BB27" s="1" t="e">
        <f t="shared" si="34"/>
        <v>#N/A</v>
      </c>
    </row>
    <row r="28" spans="1:54" x14ac:dyDescent="0.2">
      <c r="A28" s="1" t="e">
        <f>IF(OR(Table1[[#This Row],[Type (TX, RX, TRX, Oscillator)]]="TX", Table1[[#This Row],[Type (TX, RX, TRX, Oscillator)]]="TX FE"),Table1[[#This Row],[Frequency (GHz)]],#N/A)</f>
        <v>#N/A</v>
      </c>
      <c r="B28" s="30" t="e">
        <f>IF(OR(Table1[[#This Row],[Type (TX, RX, TRX, Oscillator)]]="TX", Table1[[#This Row],[Type (TX, RX, TRX, Oscillator)]]="TX FE"),DATE(Table1[[#This Row],[Year ]],Table1[[#This Row],[Month]],1),#N/A)</f>
        <v>#N/A</v>
      </c>
      <c r="C28" s="1" t="e">
        <f>IF(OR(Table1[[#This Row],[Type (TX, RX, TRX, Oscillator)]]="TX",Table1[[#This Row],[Type (TX, RX, TRX, Oscillator)]]="TX FE"),Table1[[#This Row],[Total Number of Elements (TX + RX)]],#N/A)</f>
        <v>#N/A</v>
      </c>
      <c r="D28" s="1" t="e">
        <f t="shared" si="0"/>
        <v>#N/A</v>
      </c>
      <c r="E28" s="1" t="e">
        <f t="shared" si="1"/>
        <v>#N/A</v>
      </c>
      <c r="F28" s="1" t="e">
        <f t="shared" si="2"/>
        <v>#N/A</v>
      </c>
      <c r="G28" s="1" t="e">
        <f t="shared" si="3"/>
        <v>#N/A</v>
      </c>
      <c r="H28" s="1" t="e">
        <f t="shared" si="4"/>
        <v>#N/A</v>
      </c>
      <c r="I28" s="1" t="e">
        <f t="shared" si="5"/>
        <v>#N/A</v>
      </c>
      <c r="J28" s="1" t="e">
        <f t="shared" si="6"/>
        <v>#N/A</v>
      </c>
      <c r="L28" s="1">
        <f>IF(OR(Table1[[#This Row],[Type (TX, RX, TRX, Oscillator)]]="RX", Table1[[#This Row],[Type (TX, RX, TRX, Oscillator)]]="RX FE"),Table1[[#This Row],[Frequency (GHz)]],#N/A)</f>
        <v>23</v>
      </c>
      <c r="M28" s="30">
        <f>IF(OR(Table1[[#This Row],[Type (TX, RX, TRX, Oscillator)]]="RX", Table1[[#This Row],[Type (TX, RX, TRX, Oscillator)]]="RX FE"),DATE(Table1[[#This Row],[Year ]],Table1[[#This Row],[Month]],1),#N/A)</f>
        <v>43132</v>
      </c>
      <c r="N28" s="1">
        <f>IF(OR(Table1[[#This Row],[Type (TX, RX, TRX, Oscillator)]]="RX", Table1[[#This Row],[Type (TX, RX, TRX, Oscillator)]]="RX FE"),Table1[[#This Row],[Total Number of Elements (TX + RX)]],#N/A)</f>
        <v>8</v>
      </c>
      <c r="O28" s="1" t="e">
        <f t="shared" si="7"/>
        <v>#N/A</v>
      </c>
      <c r="P28" s="1">
        <f t="shared" si="8"/>
        <v>8</v>
      </c>
      <c r="Q28" s="1" t="e">
        <f t="shared" si="9"/>
        <v>#N/A</v>
      </c>
      <c r="R28" s="1" t="e">
        <f t="shared" si="10"/>
        <v>#N/A</v>
      </c>
      <c r="S28" s="1" t="e">
        <f t="shared" si="11"/>
        <v>#N/A</v>
      </c>
      <c r="T28" s="1" t="e">
        <f t="shared" si="12"/>
        <v>#N/A</v>
      </c>
      <c r="U28" s="1" t="e">
        <f t="shared" si="13"/>
        <v>#N/A</v>
      </c>
      <c r="W28" s="1" t="e">
        <f>IF(OR(Table1[[#This Row],[Type (TX, RX, TRX, Oscillator)]]="TRX",Table1[[#This Row],[Type (TX, RX, TRX, Oscillator)]]="TRX FE"),Table1[[#This Row],[Frequency (GHz)]],#N/A)</f>
        <v>#N/A</v>
      </c>
      <c r="X28" s="30" t="e">
        <f>IF(OR(Table1[[#This Row],[Type (TX, RX, TRX, Oscillator)]]="TRX", Table1[[#This Row],[Type (TX, RX, TRX, Oscillator)]]="TRX FE"),DATE(Table1[[#This Row],[Year ]],Table1[[#This Row],[Month]],1),#N/A)</f>
        <v>#N/A</v>
      </c>
      <c r="Y28" s="1" t="e">
        <f>IF(OR(Table1[[#This Row],[Type (TX, RX, TRX, Oscillator)]]="TRX", Table1[[#This Row],[Type (TX, RX, TRX, Oscillator)]]="TRX FE"),Table1[[#This Row],[Total Number of Elements (TX + RX)]],#N/A)</f>
        <v>#N/A</v>
      </c>
      <c r="Z28" s="1" t="e">
        <f t="shared" si="14"/>
        <v>#N/A</v>
      </c>
      <c r="AA28" s="1" t="e">
        <f t="shared" si="15"/>
        <v>#N/A</v>
      </c>
      <c r="AB28" s="1" t="e">
        <f t="shared" si="16"/>
        <v>#N/A</v>
      </c>
      <c r="AC28" s="1" t="e">
        <f t="shared" si="17"/>
        <v>#N/A</v>
      </c>
      <c r="AD28" s="1" t="e">
        <f t="shared" si="18"/>
        <v>#N/A</v>
      </c>
      <c r="AE28" s="1" t="e">
        <f t="shared" si="19"/>
        <v>#N/A</v>
      </c>
      <c r="AF28" s="1" t="e">
        <f t="shared" si="20"/>
        <v>#N/A</v>
      </c>
      <c r="AH28" s="1" t="e">
        <f>IF(Table1[[#This Row],[Type (TX, RX, TRX, Oscillator)]]="Oscillator",Table1[[#This Row],[Frequency (GHz)]],#N/A)</f>
        <v>#N/A</v>
      </c>
      <c r="AI28" s="30" t="e">
        <f>IF(Table1[[#This Row],[Type (TX, RX, TRX, Oscillator)]]="Oscillator",DATE(Table1[[#This Row],[Year ]],Table1[[#This Row],[Month]],1),#N/A)</f>
        <v>#N/A</v>
      </c>
      <c r="AJ28" s="1" t="e">
        <f>IF(Table1[[#This Row],[Type (TX, RX, TRX, Oscillator)]]="Oscillator",Table1[[#This Row],[Total Number of Elements (TX + RX)]],#N/A)</f>
        <v>#N/A</v>
      </c>
      <c r="AK28" s="1" t="e">
        <f t="shared" si="21"/>
        <v>#N/A</v>
      </c>
      <c r="AL28" s="1" t="e">
        <f t="shared" si="22"/>
        <v>#N/A</v>
      </c>
      <c r="AM28" s="1" t="e">
        <f t="shared" si="23"/>
        <v>#N/A</v>
      </c>
      <c r="AN28" s="1" t="e">
        <f t="shared" si="24"/>
        <v>#N/A</v>
      </c>
      <c r="AO28" s="1" t="e">
        <f t="shared" si="25"/>
        <v>#N/A</v>
      </c>
      <c r="AP28" s="1" t="e">
        <f t="shared" si="26"/>
        <v>#N/A</v>
      </c>
      <c r="AQ28" s="1" t="e">
        <f t="shared" si="27"/>
        <v>#N/A</v>
      </c>
      <c r="AS28" s="1" t="e">
        <f>IF(Table1[[#This Row],[Type (TX, RX, TRX, Oscillator)]]="Relay",Table1[[#This Row],[Frequency (GHz)]],#N/A)</f>
        <v>#N/A</v>
      </c>
      <c r="AT28" s="30" t="e">
        <f>IF(Table1[[#This Row],[Type (TX, RX, TRX, Oscillator)]]="Relay",DATE(Table1[[#This Row],[Year ]],Table1[[#This Row],[Month]],1),#N/A)</f>
        <v>#N/A</v>
      </c>
      <c r="AU28" s="1" t="e">
        <f>IF(Table1[[#This Row],[Type (TX, RX, TRX, Oscillator)]]="Relay",Table1[[#This Row],[Total Number of Elements (TX + RX)]],#N/A)</f>
        <v>#N/A</v>
      </c>
      <c r="AV28" s="1" t="e">
        <f t="shared" si="28"/>
        <v>#N/A</v>
      </c>
      <c r="AW28" s="1" t="e">
        <f t="shared" si="29"/>
        <v>#N/A</v>
      </c>
      <c r="AX28" s="1" t="e">
        <f t="shared" si="30"/>
        <v>#N/A</v>
      </c>
      <c r="AY28" s="1" t="e">
        <f t="shared" si="31"/>
        <v>#N/A</v>
      </c>
      <c r="AZ28" s="1" t="e">
        <f t="shared" si="32"/>
        <v>#N/A</v>
      </c>
      <c r="BA28" s="1" t="e">
        <f t="shared" si="33"/>
        <v>#N/A</v>
      </c>
      <c r="BB28" s="1" t="e">
        <f t="shared" si="34"/>
        <v>#N/A</v>
      </c>
    </row>
    <row r="29" spans="1:54" x14ac:dyDescent="0.2">
      <c r="A29" s="1" t="e">
        <f>IF(OR(Table1[[#This Row],[Type (TX, RX, TRX, Oscillator)]]="TX", Table1[[#This Row],[Type (TX, RX, TRX, Oscillator)]]="TX FE"),Table1[[#This Row],[Frequency (GHz)]],#N/A)</f>
        <v>#N/A</v>
      </c>
      <c r="B29" s="30" t="e">
        <f>IF(OR(Table1[[#This Row],[Type (TX, RX, TRX, Oscillator)]]="TX", Table1[[#This Row],[Type (TX, RX, TRX, Oscillator)]]="TX FE"),DATE(Table1[[#This Row],[Year ]],Table1[[#This Row],[Month]],1),#N/A)</f>
        <v>#N/A</v>
      </c>
      <c r="C29" s="1" t="e">
        <f>IF(OR(Table1[[#This Row],[Type (TX, RX, TRX, Oscillator)]]="TX",Table1[[#This Row],[Type (TX, RX, TRX, Oscillator)]]="TX FE"),Table1[[#This Row],[Total Number of Elements (TX + RX)]],#N/A)</f>
        <v>#N/A</v>
      </c>
      <c r="D29" s="1" t="e">
        <f t="shared" si="0"/>
        <v>#N/A</v>
      </c>
      <c r="E29" s="1" t="e">
        <f t="shared" si="1"/>
        <v>#N/A</v>
      </c>
      <c r="F29" s="1" t="e">
        <f t="shared" si="2"/>
        <v>#N/A</v>
      </c>
      <c r="G29" s="1" t="e">
        <f t="shared" si="3"/>
        <v>#N/A</v>
      </c>
      <c r="H29" s="1" t="e">
        <f t="shared" si="4"/>
        <v>#N/A</v>
      </c>
      <c r="I29" s="1" t="e">
        <f t="shared" si="5"/>
        <v>#N/A</v>
      </c>
      <c r="J29" s="1" t="e">
        <f t="shared" si="6"/>
        <v>#N/A</v>
      </c>
      <c r="L29" s="1">
        <f>IF(OR(Table1[[#This Row],[Type (TX, RX, TRX, Oscillator)]]="RX", Table1[[#This Row],[Type (TX, RX, TRX, Oscillator)]]="RX FE"),Table1[[#This Row],[Frequency (GHz)]],#N/A)</f>
        <v>30</v>
      </c>
      <c r="M29" s="30">
        <f>IF(OR(Table1[[#This Row],[Type (TX, RX, TRX, Oscillator)]]="RX", Table1[[#This Row],[Type (TX, RX, TRX, Oscillator)]]="RX FE"),DATE(Table1[[#This Row],[Year ]],Table1[[#This Row],[Month]],1),#N/A)</f>
        <v>43132</v>
      </c>
      <c r="N29" s="1">
        <f>IF(OR(Table1[[#This Row],[Type (TX, RX, TRX, Oscillator)]]="RX", Table1[[#This Row],[Type (TX, RX, TRX, Oscillator)]]="RX FE"),Table1[[#This Row],[Total Number of Elements (TX + RX)]],#N/A)</f>
        <v>8</v>
      </c>
      <c r="O29" s="1" t="e">
        <f t="shared" si="7"/>
        <v>#N/A</v>
      </c>
      <c r="P29" s="1">
        <f t="shared" si="8"/>
        <v>8</v>
      </c>
      <c r="Q29" s="1" t="e">
        <f t="shared" si="9"/>
        <v>#N/A</v>
      </c>
      <c r="R29" s="1" t="e">
        <f t="shared" si="10"/>
        <v>#N/A</v>
      </c>
      <c r="S29" s="1" t="e">
        <f t="shared" si="11"/>
        <v>#N/A</v>
      </c>
      <c r="T29" s="1" t="e">
        <f t="shared" si="12"/>
        <v>#N/A</v>
      </c>
      <c r="U29" s="1" t="e">
        <f t="shared" si="13"/>
        <v>#N/A</v>
      </c>
      <c r="W29" s="1" t="e">
        <f>IF(OR(Table1[[#This Row],[Type (TX, RX, TRX, Oscillator)]]="TRX",Table1[[#This Row],[Type (TX, RX, TRX, Oscillator)]]="TRX FE"),Table1[[#This Row],[Frequency (GHz)]],#N/A)</f>
        <v>#N/A</v>
      </c>
      <c r="X29" s="30" t="e">
        <f>IF(OR(Table1[[#This Row],[Type (TX, RX, TRX, Oscillator)]]="TRX", Table1[[#This Row],[Type (TX, RX, TRX, Oscillator)]]="TRX FE"),DATE(Table1[[#This Row],[Year ]],Table1[[#This Row],[Month]],1),#N/A)</f>
        <v>#N/A</v>
      </c>
      <c r="Y29" s="1" t="e">
        <f>IF(OR(Table1[[#This Row],[Type (TX, RX, TRX, Oscillator)]]="TRX", Table1[[#This Row],[Type (TX, RX, TRX, Oscillator)]]="TRX FE"),Table1[[#This Row],[Total Number of Elements (TX + RX)]],#N/A)</f>
        <v>#N/A</v>
      </c>
      <c r="Z29" s="1" t="e">
        <f t="shared" si="14"/>
        <v>#N/A</v>
      </c>
      <c r="AA29" s="1" t="e">
        <f t="shared" si="15"/>
        <v>#N/A</v>
      </c>
      <c r="AB29" s="1" t="e">
        <f t="shared" si="16"/>
        <v>#N/A</v>
      </c>
      <c r="AC29" s="1" t="e">
        <f t="shared" si="17"/>
        <v>#N/A</v>
      </c>
      <c r="AD29" s="1" t="e">
        <f t="shared" si="18"/>
        <v>#N/A</v>
      </c>
      <c r="AE29" s="1" t="e">
        <f t="shared" si="19"/>
        <v>#N/A</v>
      </c>
      <c r="AF29" s="1" t="e">
        <f t="shared" si="20"/>
        <v>#N/A</v>
      </c>
      <c r="AH29" s="1" t="e">
        <f>IF(Table1[[#This Row],[Type (TX, RX, TRX, Oscillator)]]="Oscillator",Table1[[#This Row],[Frequency (GHz)]],#N/A)</f>
        <v>#N/A</v>
      </c>
      <c r="AI29" s="30" t="e">
        <f>IF(Table1[[#This Row],[Type (TX, RX, TRX, Oscillator)]]="Oscillator",DATE(Table1[[#This Row],[Year ]],Table1[[#This Row],[Month]],1),#N/A)</f>
        <v>#N/A</v>
      </c>
      <c r="AJ29" s="1" t="e">
        <f>IF(Table1[[#This Row],[Type (TX, RX, TRX, Oscillator)]]="Oscillator",Table1[[#This Row],[Total Number of Elements (TX + RX)]],#N/A)</f>
        <v>#N/A</v>
      </c>
      <c r="AK29" s="1" t="e">
        <f t="shared" si="21"/>
        <v>#N/A</v>
      </c>
      <c r="AL29" s="1" t="e">
        <f t="shared" si="22"/>
        <v>#N/A</v>
      </c>
      <c r="AM29" s="1" t="e">
        <f t="shared" si="23"/>
        <v>#N/A</v>
      </c>
      <c r="AN29" s="1" t="e">
        <f t="shared" si="24"/>
        <v>#N/A</v>
      </c>
      <c r="AO29" s="1" t="e">
        <f t="shared" si="25"/>
        <v>#N/A</v>
      </c>
      <c r="AP29" s="1" t="e">
        <f t="shared" si="26"/>
        <v>#N/A</v>
      </c>
      <c r="AQ29" s="1" t="e">
        <f t="shared" si="27"/>
        <v>#N/A</v>
      </c>
      <c r="AS29" s="1" t="e">
        <f>IF(Table1[[#This Row],[Type (TX, RX, TRX, Oscillator)]]="Relay",Table1[[#This Row],[Frequency (GHz)]],#N/A)</f>
        <v>#N/A</v>
      </c>
      <c r="AT29" s="30" t="e">
        <f>IF(Table1[[#This Row],[Type (TX, RX, TRX, Oscillator)]]="Relay",DATE(Table1[[#This Row],[Year ]],Table1[[#This Row],[Month]],1),#N/A)</f>
        <v>#N/A</v>
      </c>
      <c r="AU29" s="1" t="e">
        <f>IF(Table1[[#This Row],[Type (TX, RX, TRX, Oscillator)]]="Relay",Table1[[#This Row],[Total Number of Elements (TX + RX)]],#N/A)</f>
        <v>#N/A</v>
      </c>
      <c r="AV29" s="1" t="e">
        <f t="shared" si="28"/>
        <v>#N/A</v>
      </c>
      <c r="AW29" s="1" t="e">
        <f t="shared" si="29"/>
        <v>#N/A</v>
      </c>
      <c r="AX29" s="1" t="e">
        <f t="shared" si="30"/>
        <v>#N/A</v>
      </c>
      <c r="AY29" s="1" t="e">
        <f t="shared" si="31"/>
        <v>#N/A</v>
      </c>
      <c r="AZ29" s="1" t="e">
        <f t="shared" si="32"/>
        <v>#N/A</v>
      </c>
      <c r="BA29" s="1" t="e">
        <f t="shared" si="33"/>
        <v>#N/A</v>
      </c>
      <c r="BB29" s="1" t="e">
        <f t="shared" si="34"/>
        <v>#N/A</v>
      </c>
    </row>
    <row r="30" spans="1:54" x14ac:dyDescent="0.2">
      <c r="A30" s="1" t="e">
        <f>IF(OR(Table1[[#This Row],[Type (TX, RX, TRX, Oscillator)]]="TX", Table1[[#This Row],[Type (TX, RX, TRX, Oscillator)]]="TX FE"),Table1[[#This Row],[Frequency (GHz)]],#N/A)</f>
        <v>#N/A</v>
      </c>
      <c r="B30" s="30" t="e">
        <f>IF(OR(Table1[[#This Row],[Type (TX, RX, TRX, Oscillator)]]="TX", Table1[[#This Row],[Type (TX, RX, TRX, Oscillator)]]="TX FE"),DATE(Table1[[#This Row],[Year ]],Table1[[#This Row],[Month]],1),#N/A)</f>
        <v>#N/A</v>
      </c>
      <c r="C30" s="1" t="e">
        <f>IF(OR(Table1[[#This Row],[Type (TX, RX, TRX, Oscillator)]]="TX",Table1[[#This Row],[Type (TX, RX, TRX, Oscillator)]]="TX FE"),Table1[[#This Row],[Total Number of Elements (TX + RX)]],#N/A)</f>
        <v>#N/A</v>
      </c>
      <c r="D30" s="1" t="e">
        <f t="shared" si="0"/>
        <v>#N/A</v>
      </c>
      <c r="E30" s="1" t="e">
        <f t="shared" si="1"/>
        <v>#N/A</v>
      </c>
      <c r="F30" s="1" t="e">
        <f t="shared" si="2"/>
        <v>#N/A</v>
      </c>
      <c r="G30" s="1" t="e">
        <f t="shared" si="3"/>
        <v>#N/A</v>
      </c>
      <c r="H30" s="1" t="e">
        <f t="shared" si="4"/>
        <v>#N/A</v>
      </c>
      <c r="I30" s="1" t="e">
        <f t="shared" si="5"/>
        <v>#N/A</v>
      </c>
      <c r="J30" s="1" t="e">
        <f t="shared" si="6"/>
        <v>#N/A</v>
      </c>
      <c r="L30" s="1" t="e">
        <f>IF(OR(Table1[[#This Row],[Type (TX, RX, TRX, Oscillator)]]="RX", Table1[[#This Row],[Type (TX, RX, TRX, Oscillator)]]="RX FE"),Table1[[#This Row],[Frequency (GHz)]],#N/A)</f>
        <v>#N/A</v>
      </c>
      <c r="M30" s="30" t="e">
        <f>IF(OR(Table1[[#This Row],[Type (TX, RX, TRX, Oscillator)]]="RX", Table1[[#This Row],[Type (TX, RX, TRX, Oscillator)]]="RX FE"),DATE(Table1[[#This Row],[Year ]],Table1[[#This Row],[Month]],1),#N/A)</f>
        <v>#N/A</v>
      </c>
      <c r="N30" s="1" t="e">
        <f>IF(OR(Table1[[#This Row],[Type (TX, RX, TRX, Oscillator)]]="RX", Table1[[#This Row],[Type (TX, RX, TRX, Oscillator)]]="RX FE"),Table1[[#This Row],[Total Number of Elements (TX + RX)]],#N/A)</f>
        <v>#N/A</v>
      </c>
      <c r="O30" s="1" t="e">
        <f t="shared" si="7"/>
        <v>#N/A</v>
      </c>
      <c r="P30" s="1" t="e">
        <f t="shared" si="8"/>
        <v>#N/A</v>
      </c>
      <c r="Q30" s="1" t="e">
        <f t="shared" si="9"/>
        <v>#N/A</v>
      </c>
      <c r="R30" s="1" t="e">
        <f t="shared" si="10"/>
        <v>#N/A</v>
      </c>
      <c r="S30" s="1" t="e">
        <f t="shared" si="11"/>
        <v>#N/A</v>
      </c>
      <c r="T30" s="1" t="e">
        <f t="shared" si="12"/>
        <v>#N/A</v>
      </c>
      <c r="U30" s="1" t="e">
        <f t="shared" si="13"/>
        <v>#N/A</v>
      </c>
      <c r="W30" s="1">
        <f>IF(OR(Table1[[#This Row],[Type (TX, RX, TRX, Oscillator)]]="TRX",Table1[[#This Row],[Type (TX, RX, TRX, Oscillator)]]="TRX FE"),Table1[[#This Row],[Frequency (GHz)]],#N/A)</f>
        <v>28</v>
      </c>
      <c r="X30" s="30">
        <f>IF(OR(Table1[[#This Row],[Type (TX, RX, TRX, Oscillator)]]="TRX", Table1[[#This Row],[Type (TX, RX, TRX, Oscillator)]]="TRX FE"),DATE(Table1[[#This Row],[Year ]],Table1[[#This Row],[Month]],1),#N/A)</f>
        <v>43132</v>
      </c>
      <c r="Y30" s="1">
        <f>IF(OR(Table1[[#This Row],[Type (TX, RX, TRX, Oscillator)]]="TRX", Table1[[#This Row],[Type (TX, RX, TRX, Oscillator)]]="TRX FE"),Table1[[#This Row],[Total Number of Elements (TX + RX)]],#N/A)</f>
        <v>48</v>
      </c>
      <c r="Z30" s="1" t="e">
        <f t="shared" si="14"/>
        <v>#N/A</v>
      </c>
      <c r="AA30" s="1">
        <f t="shared" si="15"/>
        <v>48</v>
      </c>
      <c r="AB30" s="1" t="e">
        <f t="shared" si="16"/>
        <v>#N/A</v>
      </c>
      <c r="AC30" s="1" t="e">
        <f t="shared" si="17"/>
        <v>#N/A</v>
      </c>
      <c r="AD30" s="1" t="e">
        <f t="shared" si="18"/>
        <v>#N/A</v>
      </c>
      <c r="AE30" s="1" t="e">
        <f t="shared" si="19"/>
        <v>#N/A</v>
      </c>
      <c r="AF30" s="1" t="e">
        <f t="shared" si="20"/>
        <v>#N/A</v>
      </c>
      <c r="AH30" s="1" t="e">
        <f>IF(Table1[[#This Row],[Type (TX, RX, TRX, Oscillator)]]="Oscillator",Table1[[#This Row],[Frequency (GHz)]],#N/A)</f>
        <v>#N/A</v>
      </c>
      <c r="AI30" s="30" t="e">
        <f>IF(Table1[[#This Row],[Type (TX, RX, TRX, Oscillator)]]="Oscillator",DATE(Table1[[#This Row],[Year ]],Table1[[#This Row],[Month]],1),#N/A)</f>
        <v>#N/A</v>
      </c>
      <c r="AJ30" s="1" t="e">
        <f>IF(Table1[[#This Row],[Type (TX, RX, TRX, Oscillator)]]="Oscillator",Table1[[#This Row],[Total Number of Elements (TX + RX)]],#N/A)</f>
        <v>#N/A</v>
      </c>
      <c r="AK30" s="1" t="e">
        <f t="shared" si="21"/>
        <v>#N/A</v>
      </c>
      <c r="AL30" s="1" t="e">
        <f t="shared" si="22"/>
        <v>#N/A</v>
      </c>
      <c r="AM30" s="1" t="e">
        <f t="shared" si="23"/>
        <v>#N/A</v>
      </c>
      <c r="AN30" s="1" t="e">
        <f t="shared" si="24"/>
        <v>#N/A</v>
      </c>
      <c r="AO30" s="1" t="e">
        <f t="shared" si="25"/>
        <v>#N/A</v>
      </c>
      <c r="AP30" s="1" t="e">
        <f t="shared" si="26"/>
        <v>#N/A</v>
      </c>
      <c r="AQ30" s="1" t="e">
        <f t="shared" si="27"/>
        <v>#N/A</v>
      </c>
      <c r="AS30" s="1" t="e">
        <f>IF(Table1[[#This Row],[Type (TX, RX, TRX, Oscillator)]]="Relay",Table1[[#This Row],[Frequency (GHz)]],#N/A)</f>
        <v>#N/A</v>
      </c>
      <c r="AT30" s="30" t="e">
        <f>IF(Table1[[#This Row],[Type (TX, RX, TRX, Oscillator)]]="Relay",DATE(Table1[[#This Row],[Year ]],Table1[[#This Row],[Month]],1),#N/A)</f>
        <v>#N/A</v>
      </c>
      <c r="AU30" s="1" t="e">
        <f>IF(Table1[[#This Row],[Type (TX, RX, TRX, Oscillator)]]="Relay",Table1[[#This Row],[Total Number of Elements (TX + RX)]],#N/A)</f>
        <v>#N/A</v>
      </c>
      <c r="AV30" s="1" t="e">
        <f t="shared" si="28"/>
        <v>#N/A</v>
      </c>
      <c r="AW30" s="1" t="e">
        <f t="shared" si="29"/>
        <v>#N/A</v>
      </c>
      <c r="AX30" s="1" t="e">
        <f t="shared" si="30"/>
        <v>#N/A</v>
      </c>
      <c r="AY30" s="1" t="e">
        <f t="shared" si="31"/>
        <v>#N/A</v>
      </c>
      <c r="AZ30" s="1" t="e">
        <f t="shared" si="32"/>
        <v>#N/A</v>
      </c>
      <c r="BA30" s="1" t="e">
        <f t="shared" si="33"/>
        <v>#N/A</v>
      </c>
      <c r="BB30" s="1" t="e">
        <f t="shared" si="34"/>
        <v>#N/A</v>
      </c>
    </row>
    <row r="31" spans="1:54" x14ac:dyDescent="0.2">
      <c r="A31" s="1" t="e">
        <f>IF(OR(Table1[[#This Row],[Type (TX, RX, TRX, Oscillator)]]="TX", Table1[[#This Row],[Type (TX, RX, TRX, Oscillator)]]="TX FE"),Table1[[#This Row],[Frequency (GHz)]],#N/A)</f>
        <v>#N/A</v>
      </c>
      <c r="B31" s="30" t="e">
        <f>IF(OR(Table1[[#This Row],[Type (TX, RX, TRX, Oscillator)]]="TX", Table1[[#This Row],[Type (TX, RX, TRX, Oscillator)]]="TX FE"),DATE(Table1[[#This Row],[Year ]],Table1[[#This Row],[Month]],1),#N/A)</f>
        <v>#N/A</v>
      </c>
      <c r="C31" s="1" t="e">
        <f>IF(OR(Table1[[#This Row],[Type (TX, RX, TRX, Oscillator)]]="TX",Table1[[#This Row],[Type (TX, RX, TRX, Oscillator)]]="TX FE"),Table1[[#This Row],[Total Number of Elements (TX + RX)]],#N/A)</f>
        <v>#N/A</v>
      </c>
      <c r="D31" s="1" t="e">
        <f t="shared" si="0"/>
        <v>#N/A</v>
      </c>
      <c r="E31" s="1" t="e">
        <f t="shared" si="1"/>
        <v>#N/A</v>
      </c>
      <c r="F31" s="1" t="e">
        <f t="shared" si="2"/>
        <v>#N/A</v>
      </c>
      <c r="G31" s="1" t="e">
        <f t="shared" si="3"/>
        <v>#N/A</v>
      </c>
      <c r="H31" s="1" t="e">
        <f t="shared" si="4"/>
        <v>#N/A</v>
      </c>
      <c r="I31" s="1" t="e">
        <f t="shared" si="5"/>
        <v>#N/A</v>
      </c>
      <c r="J31" s="1" t="e">
        <f t="shared" si="6"/>
        <v>#N/A</v>
      </c>
      <c r="L31" s="1" t="e">
        <f>IF(OR(Table1[[#This Row],[Type (TX, RX, TRX, Oscillator)]]="RX", Table1[[#This Row],[Type (TX, RX, TRX, Oscillator)]]="RX FE"),Table1[[#This Row],[Frequency (GHz)]],#N/A)</f>
        <v>#N/A</v>
      </c>
      <c r="M31" s="30" t="e">
        <f>IF(OR(Table1[[#This Row],[Type (TX, RX, TRX, Oscillator)]]="RX", Table1[[#This Row],[Type (TX, RX, TRX, Oscillator)]]="RX FE"),DATE(Table1[[#This Row],[Year ]],Table1[[#This Row],[Month]],1),#N/A)</f>
        <v>#N/A</v>
      </c>
      <c r="N31" s="1" t="e">
        <f>IF(OR(Table1[[#This Row],[Type (TX, RX, TRX, Oscillator)]]="RX", Table1[[#This Row],[Type (TX, RX, TRX, Oscillator)]]="RX FE"),Table1[[#This Row],[Total Number of Elements (TX + RX)]],#N/A)</f>
        <v>#N/A</v>
      </c>
      <c r="O31" s="1" t="e">
        <f t="shared" si="7"/>
        <v>#N/A</v>
      </c>
      <c r="P31" s="1" t="e">
        <f t="shared" si="8"/>
        <v>#N/A</v>
      </c>
      <c r="Q31" s="1" t="e">
        <f t="shared" si="9"/>
        <v>#N/A</v>
      </c>
      <c r="R31" s="1" t="e">
        <f t="shared" si="10"/>
        <v>#N/A</v>
      </c>
      <c r="S31" s="1" t="e">
        <f t="shared" si="11"/>
        <v>#N/A</v>
      </c>
      <c r="T31" s="1" t="e">
        <f t="shared" si="12"/>
        <v>#N/A</v>
      </c>
      <c r="U31" s="1" t="e">
        <f t="shared" si="13"/>
        <v>#N/A</v>
      </c>
      <c r="W31" s="1">
        <f>IF(OR(Table1[[#This Row],[Type (TX, RX, TRX, Oscillator)]]="TRX",Table1[[#This Row],[Type (TX, RX, TRX, Oscillator)]]="TRX FE"),Table1[[#This Row],[Frequency (GHz)]],#N/A)</f>
        <v>60</v>
      </c>
      <c r="X31" s="30">
        <f>IF(OR(Table1[[#This Row],[Type (TX, RX, TRX, Oscillator)]]="TRX", Table1[[#This Row],[Type (TX, RX, TRX, Oscillator)]]="TRX FE"),DATE(Table1[[#This Row],[Year ]],Table1[[#This Row],[Month]],1),#N/A)</f>
        <v>43132</v>
      </c>
      <c r="Y31" s="1">
        <f>IF(OR(Table1[[#This Row],[Type (TX, RX, TRX, Oscillator)]]="TRX", Table1[[#This Row],[Type (TX, RX, TRX, Oscillator)]]="TRX FE"),Table1[[#This Row],[Total Number of Elements (TX + RX)]],#N/A)</f>
        <v>288</v>
      </c>
      <c r="Z31" s="1" t="e">
        <f t="shared" si="14"/>
        <v>#N/A</v>
      </c>
      <c r="AA31" s="1" t="e">
        <f t="shared" si="15"/>
        <v>#N/A</v>
      </c>
      <c r="AB31" s="1">
        <f t="shared" si="16"/>
        <v>288</v>
      </c>
      <c r="AC31" s="1" t="e">
        <f t="shared" si="17"/>
        <v>#N/A</v>
      </c>
      <c r="AD31" s="1" t="e">
        <f t="shared" si="18"/>
        <v>#N/A</v>
      </c>
      <c r="AE31" s="1" t="e">
        <f t="shared" si="19"/>
        <v>#N/A</v>
      </c>
      <c r="AF31" s="1" t="e">
        <f t="shared" si="20"/>
        <v>#N/A</v>
      </c>
      <c r="AH31" s="1" t="e">
        <f>IF(Table1[[#This Row],[Type (TX, RX, TRX, Oscillator)]]="Oscillator",Table1[[#This Row],[Frequency (GHz)]],#N/A)</f>
        <v>#N/A</v>
      </c>
      <c r="AI31" s="30" t="e">
        <f>IF(Table1[[#This Row],[Type (TX, RX, TRX, Oscillator)]]="Oscillator",DATE(Table1[[#This Row],[Year ]],Table1[[#This Row],[Month]],1),#N/A)</f>
        <v>#N/A</v>
      </c>
      <c r="AJ31" s="1" t="e">
        <f>IF(Table1[[#This Row],[Type (TX, RX, TRX, Oscillator)]]="Oscillator",Table1[[#This Row],[Total Number of Elements (TX + RX)]],#N/A)</f>
        <v>#N/A</v>
      </c>
      <c r="AK31" s="1" t="e">
        <f t="shared" si="21"/>
        <v>#N/A</v>
      </c>
      <c r="AL31" s="1" t="e">
        <f t="shared" si="22"/>
        <v>#N/A</v>
      </c>
      <c r="AM31" s="1" t="e">
        <f t="shared" si="23"/>
        <v>#N/A</v>
      </c>
      <c r="AN31" s="1" t="e">
        <f t="shared" si="24"/>
        <v>#N/A</v>
      </c>
      <c r="AO31" s="1" t="e">
        <f t="shared" si="25"/>
        <v>#N/A</v>
      </c>
      <c r="AP31" s="1" t="e">
        <f t="shared" si="26"/>
        <v>#N/A</v>
      </c>
      <c r="AQ31" s="1" t="e">
        <f t="shared" si="27"/>
        <v>#N/A</v>
      </c>
      <c r="AS31" s="1" t="e">
        <f>IF(Table1[[#This Row],[Type (TX, RX, TRX, Oscillator)]]="Relay",Table1[[#This Row],[Frequency (GHz)]],#N/A)</f>
        <v>#N/A</v>
      </c>
      <c r="AT31" s="30" t="e">
        <f>IF(Table1[[#This Row],[Type (TX, RX, TRX, Oscillator)]]="Relay",DATE(Table1[[#This Row],[Year ]],Table1[[#This Row],[Month]],1),#N/A)</f>
        <v>#N/A</v>
      </c>
      <c r="AU31" s="1" t="e">
        <f>IF(Table1[[#This Row],[Type (TX, RX, TRX, Oscillator)]]="Relay",Table1[[#This Row],[Total Number of Elements (TX + RX)]],#N/A)</f>
        <v>#N/A</v>
      </c>
      <c r="AV31" s="1" t="e">
        <f t="shared" si="28"/>
        <v>#N/A</v>
      </c>
      <c r="AW31" s="1" t="e">
        <f t="shared" si="29"/>
        <v>#N/A</v>
      </c>
      <c r="AX31" s="1" t="e">
        <f t="shared" si="30"/>
        <v>#N/A</v>
      </c>
      <c r="AY31" s="1" t="e">
        <f t="shared" si="31"/>
        <v>#N/A</v>
      </c>
      <c r="AZ31" s="1" t="e">
        <f t="shared" si="32"/>
        <v>#N/A</v>
      </c>
      <c r="BA31" s="1" t="e">
        <f t="shared" si="33"/>
        <v>#N/A</v>
      </c>
      <c r="BB31" s="1" t="e">
        <f t="shared" si="34"/>
        <v>#N/A</v>
      </c>
    </row>
    <row r="32" spans="1:54" x14ac:dyDescent="0.2">
      <c r="A32" s="1" t="e">
        <f>IF(OR(Table1[[#This Row],[Type (TX, RX, TRX, Oscillator)]]="TX", Table1[[#This Row],[Type (TX, RX, TRX, Oscillator)]]="TX FE"),Table1[[#This Row],[Frequency (GHz)]],#N/A)</f>
        <v>#N/A</v>
      </c>
      <c r="B32" s="30" t="e">
        <f>IF(OR(Table1[[#This Row],[Type (TX, RX, TRX, Oscillator)]]="TX", Table1[[#This Row],[Type (TX, RX, TRX, Oscillator)]]="TX FE"),DATE(Table1[[#This Row],[Year ]],Table1[[#This Row],[Month]],1),#N/A)</f>
        <v>#N/A</v>
      </c>
      <c r="C32" s="1" t="e">
        <f>IF(OR(Table1[[#This Row],[Type (TX, RX, TRX, Oscillator)]]="TX",Table1[[#This Row],[Type (TX, RX, TRX, Oscillator)]]="TX FE"),Table1[[#This Row],[Total Number of Elements (TX + RX)]],#N/A)</f>
        <v>#N/A</v>
      </c>
      <c r="D32" s="1" t="e">
        <f t="shared" si="0"/>
        <v>#N/A</v>
      </c>
      <c r="E32" s="1" t="e">
        <f t="shared" si="1"/>
        <v>#N/A</v>
      </c>
      <c r="F32" s="1" t="e">
        <f t="shared" si="2"/>
        <v>#N/A</v>
      </c>
      <c r="G32" s="1" t="e">
        <f t="shared" si="3"/>
        <v>#N/A</v>
      </c>
      <c r="H32" s="1" t="e">
        <f t="shared" si="4"/>
        <v>#N/A</v>
      </c>
      <c r="I32" s="1" t="e">
        <f t="shared" si="5"/>
        <v>#N/A</v>
      </c>
      <c r="J32" s="1" t="e">
        <f t="shared" si="6"/>
        <v>#N/A</v>
      </c>
      <c r="L32" s="1" t="e">
        <f>IF(OR(Table1[[#This Row],[Type (TX, RX, TRX, Oscillator)]]="RX", Table1[[#This Row],[Type (TX, RX, TRX, Oscillator)]]="RX FE"),Table1[[#This Row],[Frequency (GHz)]],#N/A)</f>
        <v>#N/A</v>
      </c>
      <c r="M32" s="30" t="e">
        <f>IF(OR(Table1[[#This Row],[Type (TX, RX, TRX, Oscillator)]]="RX", Table1[[#This Row],[Type (TX, RX, TRX, Oscillator)]]="RX FE"),DATE(Table1[[#This Row],[Year ]],Table1[[#This Row],[Month]],1),#N/A)</f>
        <v>#N/A</v>
      </c>
      <c r="N32" s="1" t="e">
        <f>IF(OR(Table1[[#This Row],[Type (TX, RX, TRX, Oscillator)]]="RX", Table1[[#This Row],[Type (TX, RX, TRX, Oscillator)]]="RX FE"),Table1[[#This Row],[Total Number of Elements (TX + RX)]],#N/A)</f>
        <v>#N/A</v>
      </c>
      <c r="O32" s="1" t="e">
        <f t="shared" si="7"/>
        <v>#N/A</v>
      </c>
      <c r="P32" s="1" t="e">
        <f t="shared" si="8"/>
        <v>#N/A</v>
      </c>
      <c r="Q32" s="1" t="e">
        <f t="shared" si="9"/>
        <v>#N/A</v>
      </c>
      <c r="R32" s="1" t="e">
        <f t="shared" si="10"/>
        <v>#N/A</v>
      </c>
      <c r="S32" s="1" t="e">
        <f t="shared" si="11"/>
        <v>#N/A</v>
      </c>
      <c r="T32" s="1" t="e">
        <f t="shared" si="12"/>
        <v>#N/A</v>
      </c>
      <c r="U32" s="1" t="e">
        <f t="shared" si="13"/>
        <v>#N/A</v>
      </c>
      <c r="W32" s="1">
        <f>IF(OR(Table1[[#This Row],[Type (TX, RX, TRX, Oscillator)]]="TRX",Table1[[#This Row],[Type (TX, RX, TRX, Oscillator)]]="TRX FE"),Table1[[#This Row],[Frequency (GHz)]],#N/A)</f>
        <v>80</v>
      </c>
      <c r="X32" s="30">
        <f>IF(OR(Table1[[#This Row],[Type (TX, RX, TRX, Oscillator)]]="TRX", Table1[[#This Row],[Type (TX, RX, TRX, Oscillator)]]="TRX FE"),DATE(Table1[[#This Row],[Year ]],Table1[[#This Row],[Month]],1),#N/A)</f>
        <v>43132</v>
      </c>
      <c r="Y32" s="1">
        <f>IF(OR(Table1[[#This Row],[Type (TX, RX, TRX, Oscillator)]]="TRX", Table1[[#This Row],[Type (TX, RX, TRX, Oscillator)]]="TRX FE"),Table1[[#This Row],[Total Number of Elements (TX + RX)]],#N/A)</f>
        <v>24</v>
      </c>
      <c r="Z32" s="1" t="e">
        <f t="shared" si="14"/>
        <v>#N/A</v>
      </c>
      <c r="AA32" s="1" t="e">
        <f t="shared" si="15"/>
        <v>#N/A</v>
      </c>
      <c r="AB32" s="1" t="e">
        <f t="shared" si="16"/>
        <v>#N/A</v>
      </c>
      <c r="AC32" s="1">
        <f t="shared" si="17"/>
        <v>24</v>
      </c>
      <c r="AD32" s="1" t="e">
        <f t="shared" si="18"/>
        <v>#N/A</v>
      </c>
      <c r="AE32" s="1" t="e">
        <f t="shared" si="19"/>
        <v>#N/A</v>
      </c>
      <c r="AF32" s="1" t="e">
        <f t="shared" si="20"/>
        <v>#N/A</v>
      </c>
      <c r="AH32" s="1" t="e">
        <f>IF(Table1[[#This Row],[Type (TX, RX, TRX, Oscillator)]]="Oscillator",Table1[[#This Row],[Frequency (GHz)]],#N/A)</f>
        <v>#N/A</v>
      </c>
      <c r="AI32" s="30" t="e">
        <f>IF(Table1[[#This Row],[Type (TX, RX, TRX, Oscillator)]]="Oscillator",DATE(Table1[[#This Row],[Year ]],Table1[[#This Row],[Month]],1),#N/A)</f>
        <v>#N/A</v>
      </c>
      <c r="AJ32" s="1" t="e">
        <f>IF(Table1[[#This Row],[Type (TX, RX, TRX, Oscillator)]]="Oscillator",Table1[[#This Row],[Total Number of Elements (TX + RX)]],#N/A)</f>
        <v>#N/A</v>
      </c>
      <c r="AK32" s="1" t="e">
        <f t="shared" si="21"/>
        <v>#N/A</v>
      </c>
      <c r="AL32" s="1" t="e">
        <f t="shared" si="22"/>
        <v>#N/A</v>
      </c>
      <c r="AM32" s="1" t="e">
        <f t="shared" si="23"/>
        <v>#N/A</v>
      </c>
      <c r="AN32" s="1" t="e">
        <f t="shared" si="24"/>
        <v>#N/A</v>
      </c>
      <c r="AO32" s="1" t="e">
        <f t="shared" si="25"/>
        <v>#N/A</v>
      </c>
      <c r="AP32" s="1" t="e">
        <f t="shared" si="26"/>
        <v>#N/A</v>
      </c>
      <c r="AQ32" s="1" t="e">
        <f t="shared" si="27"/>
        <v>#N/A</v>
      </c>
      <c r="AS32" s="1" t="e">
        <f>IF(Table1[[#This Row],[Type (TX, RX, TRX, Oscillator)]]="Relay",Table1[[#This Row],[Frequency (GHz)]],#N/A)</f>
        <v>#N/A</v>
      </c>
      <c r="AT32" s="30" t="e">
        <f>IF(Table1[[#This Row],[Type (TX, RX, TRX, Oscillator)]]="Relay",DATE(Table1[[#This Row],[Year ]],Table1[[#This Row],[Month]],1),#N/A)</f>
        <v>#N/A</v>
      </c>
      <c r="AU32" s="1" t="e">
        <f>IF(Table1[[#This Row],[Type (TX, RX, TRX, Oscillator)]]="Relay",Table1[[#This Row],[Total Number of Elements (TX + RX)]],#N/A)</f>
        <v>#N/A</v>
      </c>
      <c r="AV32" s="1" t="e">
        <f t="shared" si="28"/>
        <v>#N/A</v>
      </c>
      <c r="AW32" s="1" t="e">
        <f t="shared" si="29"/>
        <v>#N/A</v>
      </c>
      <c r="AX32" s="1" t="e">
        <f t="shared" si="30"/>
        <v>#N/A</v>
      </c>
      <c r="AY32" s="1" t="e">
        <f t="shared" si="31"/>
        <v>#N/A</v>
      </c>
      <c r="AZ32" s="1" t="e">
        <f t="shared" si="32"/>
        <v>#N/A</v>
      </c>
      <c r="BA32" s="1" t="e">
        <f t="shared" si="33"/>
        <v>#N/A</v>
      </c>
      <c r="BB32" s="1" t="e">
        <f t="shared" si="34"/>
        <v>#N/A</v>
      </c>
    </row>
    <row r="33" spans="1:54" x14ac:dyDescent="0.2">
      <c r="A33" s="1" t="e">
        <f>IF(OR(Table1[[#This Row],[Type (TX, RX, TRX, Oscillator)]]="TX", Table1[[#This Row],[Type (TX, RX, TRX, Oscillator)]]="TX FE"),Table1[[#This Row],[Frequency (GHz)]],#N/A)</f>
        <v>#N/A</v>
      </c>
      <c r="B33" s="30" t="e">
        <f>IF(OR(Table1[[#This Row],[Type (TX, RX, TRX, Oscillator)]]="TX", Table1[[#This Row],[Type (TX, RX, TRX, Oscillator)]]="TX FE"),DATE(Table1[[#This Row],[Year ]],Table1[[#This Row],[Month]],1),#N/A)</f>
        <v>#N/A</v>
      </c>
      <c r="C33" s="1" t="e">
        <f>IF(OR(Table1[[#This Row],[Type (TX, RX, TRX, Oscillator)]]="TX",Table1[[#This Row],[Type (TX, RX, TRX, Oscillator)]]="TX FE"),Table1[[#This Row],[Total Number of Elements (TX + RX)]],#N/A)</f>
        <v>#N/A</v>
      </c>
      <c r="D33" s="1" t="e">
        <f t="shared" si="0"/>
        <v>#N/A</v>
      </c>
      <c r="E33" s="1" t="e">
        <f t="shared" si="1"/>
        <v>#N/A</v>
      </c>
      <c r="F33" s="1" t="e">
        <f t="shared" si="2"/>
        <v>#N/A</v>
      </c>
      <c r="G33" s="1" t="e">
        <f t="shared" si="3"/>
        <v>#N/A</v>
      </c>
      <c r="H33" s="1" t="e">
        <f t="shared" si="4"/>
        <v>#N/A</v>
      </c>
      <c r="I33" s="1" t="e">
        <f t="shared" si="5"/>
        <v>#N/A</v>
      </c>
      <c r="J33" s="1" t="e">
        <f t="shared" si="6"/>
        <v>#N/A</v>
      </c>
      <c r="L33" s="1" t="e">
        <f>IF(OR(Table1[[#This Row],[Type (TX, RX, TRX, Oscillator)]]="RX", Table1[[#This Row],[Type (TX, RX, TRX, Oscillator)]]="RX FE"),Table1[[#This Row],[Frequency (GHz)]],#N/A)</f>
        <v>#N/A</v>
      </c>
      <c r="M33" s="30" t="e">
        <f>IF(OR(Table1[[#This Row],[Type (TX, RX, TRX, Oscillator)]]="RX", Table1[[#This Row],[Type (TX, RX, TRX, Oscillator)]]="RX FE"),DATE(Table1[[#This Row],[Year ]],Table1[[#This Row],[Month]],1),#N/A)</f>
        <v>#N/A</v>
      </c>
      <c r="N33" s="1" t="e">
        <f>IF(OR(Table1[[#This Row],[Type (TX, RX, TRX, Oscillator)]]="RX", Table1[[#This Row],[Type (TX, RX, TRX, Oscillator)]]="RX FE"),Table1[[#This Row],[Total Number of Elements (TX + RX)]],#N/A)</f>
        <v>#N/A</v>
      </c>
      <c r="O33" s="1" t="e">
        <f t="shared" si="7"/>
        <v>#N/A</v>
      </c>
      <c r="P33" s="1" t="e">
        <f t="shared" si="8"/>
        <v>#N/A</v>
      </c>
      <c r="Q33" s="1" t="e">
        <f t="shared" si="9"/>
        <v>#N/A</v>
      </c>
      <c r="R33" s="1" t="e">
        <f t="shared" si="10"/>
        <v>#N/A</v>
      </c>
      <c r="S33" s="1" t="e">
        <f t="shared" si="11"/>
        <v>#N/A</v>
      </c>
      <c r="T33" s="1" t="e">
        <f t="shared" si="12"/>
        <v>#N/A</v>
      </c>
      <c r="U33" s="1" t="e">
        <f t="shared" si="13"/>
        <v>#N/A</v>
      </c>
      <c r="W33" s="1">
        <f>IF(OR(Table1[[#This Row],[Type (TX, RX, TRX, Oscillator)]]="TRX",Table1[[#This Row],[Type (TX, RX, TRX, Oscillator)]]="TRX FE"),Table1[[#This Row],[Frequency (GHz)]],#N/A)</f>
        <v>90</v>
      </c>
      <c r="X33" s="30">
        <f>IF(OR(Table1[[#This Row],[Type (TX, RX, TRX, Oscillator)]]="TRX", Table1[[#This Row],[Type (TX, RX, TRX, Oscillator)]]="TRX FE"),DATE(Table1[[#This Row],[Year ]],Table1[[#This Row],[Month]],1),#N/A)</f>
        <v>43132</v>
      </c>
      <c r="Y33" s="1">
        <f>IF(OR(Table1[[#This Row],[Type (TX, RX, TRX, Oscillator)]]="TRX", Table1[[#This Row],[Type (TX, RX, TRX, Oscillator)]]="TRX FE"),Table1[[#This Row],[Total Number of Elements (TX + RX)]],#N/A)</f>
        <v>24</v>
      </c>
      <c r="Z33" s="1" t="e">
        <f t="shared" si="14"/>
        <v>#N/A</v>
      </c>
      <c r="AA33" s="1" t="e">
        <f t="shared" si="15"/>
        <v>#N/A</v>
      </c>
      <c r="AB33" s="1" t="e">
        <f t="shared" si="16"/>
        <v>#N/A</v>
      </c>
      <c r="AC33" s="1">
        <f t="shared" si="17"/>
        <v>24</v>
      </c>
      <c r="AD33" s="1" t="e">
        <f t="shared" si="18"/>
        <v>#N/A</v>
      </c>
      <c r="AE33" s="1" t="e">
        <f t="shared" si="19"/>
        <v>#N/A</v>
      </c>
      <c r="AF33" s="1" t="e">
        <f t="shared" si="20"/>
        <v>#N/A</v>
      </c>
      <c r="AH33" s="1" t="e">
        <f>IF(Table1[[#This Row],[Type (TX, RX, TRX, Oscillator)]]="Oscillator",Table1[[#This Row],[Frequency (GHz)]],#N/A)</f>
        <v>#N/A</v>
      </c>
      <c r="AI33" s="30" t="e">
        <f>IF(Table1[[#This Row],[Type (TX, RX, TRX, Oscillator)]]="Oscillator",DATE(Table1[[#This Row],[Year ]],Table1[[#This Row],[Month]],1),#N/A)</f>
        <v>#N/A</v>
      </c>
      <c r="AJ33" s="1" t="e">
        <f>IF(Table1[[#This Row],[Type (TX, RX, TRX, Oscillator)]]="Oscillator",Table1[[#This Row],[Total Number of Elements (TX + RX)]],#N/A)</f>
        <v>#N/A</v>
      </c>
      <c r="AK33" s="1" t="e">
        <f t="shared" si="21"/>
        <v>#N/A</v>
      </c>
      <c r="AL33" s="1" t="e">
        <f t="shared" si="22"/>
        <v>#N/A</v>
      </c>
      <c r="AM33" s="1" t="e">
        <f t="shared" si="23"/>
        <v>#N/A</v>
      </c>
      <c r="AN33" s="1" t="e">
        <f t="shared" si="24"/>
        <v>#N/A</v>
      </c>
      <c r="AO33" s="1" t="e">
        <f t="shared" si="25"/>
        <v>#N/A</v>
      </c>
      <c r="AP33" s="1" t="e">
        <f t="shared" si="26"/>
        <v>#N/A</v>
      </c>
      <c r="AQ33" s="1" t="e">
        <f t="shared" si="27"/>
        <v>#N/A</v>
      </c>
      <c r="AS33" s="1" t="e">
        <f>IF(Table1[[#This Row],[Type (TX, RX, TRX, Oscillator)]]="Relay",Table1[[#This Row],[Frequency (GHz)]],#N/A)</f>
        <v>#N/A</v>
      </c>
      <c r="AT33" s="30" t="e">
        <f>IF(Table1[[#This Row],[Type (TX, RX, TRX, Oscillator)]]="Relay",DATE(Table1[[#This Row],[Year ]],Table1[[#This Row],[Month]],1),#N/A)</f>
        <v>#N/A</v>
      </c>
      <c r="AU33" s="1" t="e">
        <f>IF(Table1[[#This Row],[Type (TX, RX, TRX, Oscillator)]]="Relay",Table1[[#This Row],[Total Number of Elements (TX + RX)]],#N/A)</f>
        <v>#N/A</v>
      </c>
      <c r="AV33" s="1" t="e">
        <f t="shared" si="28"/>
        <v>#N/A</v>
      </c>
      <c r="AW33" s="1" t="e">
        <f t="shared" si="29"/>
        <v>#N/A</v>
      </c>
      <c r="AX33" s="1" t="e">
        <f t="shared" si="30"/>
        <v>#N/A</v>
      </c>
      <c r="AY33" s="1" t="e">
        <f t="shared" si="31"/>
        <v>#N/A</v>
      </c>
      <c r="AZ33" s="1" t="e">
        <f t="shared" si="32"/>
        <v>#N/A</v>
      </c>
      <c r="BA33" s="1" t="e">
        <f t="shared" si="33"/>
        <v>#N/A</v>
      </c>
      <c r="BB33" s="1" t="e">
        <f t="shared" si="34"/>
        <v>#N/A</v>
      </c>
    </row>
    <row r="34" spans="1:54" x14ac:dyDescent="0.2">
      <c r="A34" s="1" t="e">
        <f>IF(OR(Table1[[#This Row],[Type (TX, RX, TRX, Oscillator)]]="TX", Table1[[#This Row],[Type (TX, RX, TRX, Oscillator)]]="TX FE"),Table1[[#This Row],[Frequency (GHz)]],#N/A)</f>
        <v>#N/A</v>
      </c>
      <c r="B34" s="30" t="e">
        <f>IF(OR(Table1[[#This Row],[Type (TX, RX, TRX, Oscillator)]]="TX", Table1[[#This Row],[Type (TX, RX, TRX, Oscillator)]]="TX FE"),DATE(Table1[[#This Row],[Year ]],Table1[[#This Row],[Month]],1),#N/A)</f>
        <v>#N/A</v>
      </c>
      <c r="C34" s="1" t="e">
        <f>IF(OR(Table1[[#This Row],[Type (TX, RX, TRX, Oscillator)]]="TX",Table1[[#This Row],[Type (TX, RX, TRX, Oscillator)]]="TX FE"),Table1[[#This Row],[Total Number of Elements (TX + RX)]],#N/A)</f>
        <v>#N/A</v>
      </c>
      <c r="D34" s="1" t="e">
        <f t="shared" si="0"/>
        <v>#N/A</v>
      </c>
      <c r="E34" s="1" t="e">
        <f t="shared" si="1"/>
        <v>#N/A</v>
      </c>
      <c r="F34" s="1" t="e">
        <f t="shared" si="2"/>
        <v>#N/A</v>
      </c>
      <c r="G34" s="1" t="e">
        <f t="shared" si="3"/>
        <v>#N/A</v>
      </c>
      <c r="H34" s="1" t="e">
        <f t="shared" si="4"/>
        <v>#N/A</v>
      </c>
      <c r="I34" s="1" t="e">
        <f t="shared" si="5"/>
        <v>#N/A</v>
      </c>
      <c r="J34" s="1" t="e">
        <f t="shared" si="6"/>
        <v>#N/A</v>
      </c>
      <c r="L34" s="1" t="e">
        <f>IF(OR(Table1[[#This Row],[Type (TX, RX, TRX, Oscillator)]]="RX", Table1[[#This Row],[Type (TX, RX, TRX, Oscillator)]]="RX FE"),Table1[[#This Row],[Frequency (GHz)]],#N/A)</f>
        <v>#N/A</v>
      </c>
      <c r="M34" s="30" t="e">
        <f>IF(OR(Table1[[#This Row],[Type (TX, RX, TRX, Oscillator)]]="RX", Table1[[#This Row],[Type (TX, RX, TRX, Oscillator)]]="RX FE"),DATE(Table1[[#This Row],[Year ]],Table1[[#This Row],[Month]],1),#N/A)</f>
        <v>#N/A</v>
      </c>
      <c r="N34" s="1" t="e">
        <f>IF(OR(Table1[[#This Row],[Type (TX, RX, TRX, Oscillator)]]="RX", Table1[[#This Row],[Type (TX, RX, TRX, Oscillator)]]="RX FE"),Table1[[#This Row],[Total Number of Elements (TX + RX)]],#N/A)</f>
        <v>#N/A</v>
      </c>
      <c r="O34" s="1" t="e">
        <f t="shared" si="7"/>
        <v>#N/A</v>
      </c>
      <c r="P34" s="1" t="e">
        <f t="shared" si="8"/>
        <v>#N/A</v>
      </c>
      <c r="Q34" s="1" t="e">
        <f t="shared" si="9"/>
        <v>#N/A</v>
      </c>
      <c r="R34" s="1" t="e">
        <f t="shared" si="10"/>
        <v>#N/A</v>
      </c>
      <c r="S34" s="1" t="e">
        <f t="shared" si="11"/>
        <v>#N/A</v>
      </c>
      <c r="T34" s="1" t="e">
        <f t="shared" si="12"/>
        <v>#N/A</v>
      </c>
      <c r="U34" s="1" t="e">
        <f t="shared" si="13"/>
        <v>#N/A</v>
      </c>
      <c r="W34" s="1" t="e">
        <f>IF(OR(Table1[[#This Row],[Type (TX, RX, TRX, Oscillator)]]="TRX",Table1[[#This Row],[Type (TX, RX, TRX, Oscillator)]]="TRX FE"),Table1[[#This Row],[Frequency (GHz)]],#N/A)</f>
        <v>#N/A</v>
      </c>
      <c r="X34" s="30" t="e">
        <f>IF(OR(Table1[[#This Row],[Type (TX, RX, TRX, Oscillator)]]="TRX", Table1[[#This Row],[Type (TX, RX, TRX, Oscillator)]]="TRX FE"),DATE(Table1[[#This Row],[Year ]],Table1[[#This Row],[Month]],1),#N/A)</f>
        <v>#N/A</v>
      </c>
      <c r="Y34" s="1" t="e">
        <f>IF(OR(Table1[[#This Row],[Type (TX, RX, TRX, Oscillator)]]="TRX", Table1[[#This Row],[Type (TX, RX, TRX, Oscillator)]]="TRX FE"),Table1[[#This Row],[Total Number of Elements (TX + RX)]],#N/A)</f>
        <v>#N/A</v>
      </c>
      <c r="Z34" s="1" t="e">
        <f t="shared" si="14"/>
        <v>#N/A</v>
      </c>
      <c r="AA34" s="1" t="e">
        <f t="shared" si="15"/>
        <v>#N/A</v>
      </c>
      <c r="AB34" s="1" t="e">
        <f t="shared" si="16"/>
        <v>#N/A</v>
      </c>
      <c r="AC34" s="1" t="e">
        <f t="shared" si="17"/>
        <v>#N/A</v>
      </c>
      <c r="AD34" s="1" t="e">
        <f t="shared" si="18"/>
        <v>#N/A</v>
      </c>
      <c r="AE34" s="1" t="e">
        <f t="shared" si="19"/>
        <v>#N/A</v>
      </c>
      <c r="AF34" s="1" t="e">
        <f t="shared" si="20"/>
        <v>#N/A</v>
      </c>
      <c r="AH34" s="1" t="e">
        <f>IF(Table1[[#This Row],[Type (TX, RX, TRX, Oscillator)]]="Oscillator",Table1[[#This Row],[Frequency (GHz)]],#N/A)</f>
        <v>#N/A</v>
      </c>
      <c r="AI34" s="30" t="e">
        <f>IF(Table1[[#This Row],[Type (TX, RX, TRX, Oscillator)]]="Oscillator",DATE(Table1[[#This Row],[Year ]],Table1[[#This Row],[Month]],1),#N/A)</f>
        <v>#N/A</v>
      </c>
      <c r="AJ34" s="1" t="e">
        <f>IF(Table1[[#This Row],[Type (TX, RX, TRX, Oscillator)]]="Oscillator",Table1[[#This Row],[Total Number of Elements (TX + RX)]],#N/A)</f>
        <v>#N/A</v>
      </c>
      <c r="AK34" s="1" t="e">
        <f t="shared" si="21"/>
        <v>#N/A</v>
      </c>
      <c r="AL34" s="1" t="e">
        <f t="shared" si="22"/>
        <v>#N/A</v>
      </c>
      <c r="AM34" s="1" t="e">
        <f t="shared" si="23"/>
        <v>#N/A</v>
      </c>
      <c r="AN34" s="1" t="e">
        <f t="shared" si="24"/>
        <v>#N/A</v>
      </c>
      <c r="AO34" s="1" t="e">
        <f t="shared" si="25"/>
        <v>#N/A</v>
      </c>
      <c r="AP34" s="1" t="e">
        <f t="shared" si="26"/>
        <v>#N/A</v>
      </c>
      <c r="AQ34" s="1" t="e">
        <f t="shared" si="27"/>
        <v>#N/A</v>
      </c>
      <c r="AS34" s="1">
        <f>IF(Table1[[#This Row],[Type (TX, RX, TRX, Oscillator)]]="Relay",Table1[[#This Row],[Frequency (GHz)]],#N/A)</f>
        <v>60</v>
      </c>
      <c r="AT34" s="30">
        <f>IF(Table1[[#This Row],[Type (TX, RX, TRX, Oscillator)]]="Relay",DATE(Table1[[#This Row],[Year ]],Table1[[#This Row],[Month]],1),#N/A)</f>
        <v>43191</v>
      </c>
      <c r="AU34" s="1">
        <f>IF(Table1[[#This Row],[Type (TX, RX, TRX, Oscillator)]]="Relay",Table1[[#This Row],[Total Number of Elements (TX + RX)]],#N/A)</f>
        <v>0</v>
      </c>
      <c r="AV34" s="1" t="e">
        <f t="shared" si="28"/>
        <v>#N/A</v>
      </c>
      <c r="AW34" s="1" t="e">
        <f t="shared" si="29"/>
        <v>#N/A</v>
      </c>
      <c r="AX34" s="1">
        <f t="shared" si="30"/>
        <v>0</v>
      </c>
      <c r="AY34" s="1" t="e">
        <f t="shared" si="31"/>
        <v>#N/A</v>
      </c>
      <c r="AZ34" s="1" t="e">
        <f t="shared" si="32"/>
        <v>#N/A</v>
      </c>
      <c r="BA34" s="1" t="e">
        <f t="shared" si="33"/>
        <v>#N/A</v>
      </c>
      <c r="BB34" s="1" t="e">
        <f t="shared" si="34"/>
        <v>#N/A</v>
      </c>
    </row>
    <row r="35" spans="1:54" x14ac:dyDescent="0.2">
      <c r="A35" s="1" t="e">
        <f>IF(OR(Table1[[#This Row],[Type (TX, RX, TRX, Oscillator)]]="TX", Table1[[#This Row],[Type (TX, RX, TRX, Oscillator)]]="TX FE"),Table1[[#This Row],[Frequency (GHz)]],#N/A)</f>
        <v>#N/A</v>
      </c>
      <c r="B35" s="30" t="e">
        <f>IF(OR(Table1[[#This Row],[Type (TX, RX, TRX, Oscillator)]]="TX", Table1[[#This Row],[Type (TX, RX, TRX, Oscillator)]]="TX FE"),DATE(Table1[[#This Row],[Year ]],Table1[[#This Row],[Month]],1),#N/A)</f>
        <v>#N/A</v>
      </c>
      <c r="C35" s="1" t="e">
        <f>IF(OR(Table1[[#This Row],[Type (TX, RX, TRX, Oscillator)]]="TX",Table1[[#This Row],[Type (TX, RX, TRX, Oscillator)]]="TX FE"),Table1[[#This Row],[Total Number of Elements (TX + RX)]],#N/A)</f>
        <v>#N/A</v>
      </c>
      <c r="D35" s="1" t="e">
        <f t="shared" si="0"/>
        <v>#N/A</v>
      </c>
      <c r="E35" s="1" t="e">
        <f t="shared" si="1"/>
        <v>#N/A</v>
      </c>
      <c r="F35" s="1" t="e">
        <f t="shared" si="2"/>
        <v>#N/A</v>
      </c>
      <c r="G35" s="1" t="e">
        <f t="shared" si="3"/>
        <v>#N/A</v>
      </c>
      <c r="H35" s="1" t="e">
        <f t="shared" si="4"/>
        <v>#N/A</v>
      </c>
      <c r="I35" s="1" t="e">
        <f t="shared" si="5"/>
        <v>#N/A</v>
      </c>
      <c r="J35" s="1" t="e">
        <f t="shared" si="6"/>
        <v>#N/A</v>
      </c>
      <c r="L35" s="1" t="e">
        <f>IF(OR(Table1[[#This Row],[Type (TX, RX, TRX, Oscillator)]]="RX", Table1[[#This Row],[Type (TX, RX, TRX, Oscillator)]]="RX FE"),Table1[[#This Row],[Frequency (GHz)]],#N/A)</f>
        <v>#N/A</v>
      </c>
      <c r="M35" s="30" t="e">
        <f>IF(OR(Table1[[#This Row],[Type (TX, RX, TRX, Oscillator)]]="RX", Table1[[#This Row],[Type (TX, RX, TRX, Oscillator)]]="RX FE"),DATE(Table1[[#This Row],[Year ]],Table1[[#This Row],[Month]],1),#N/A)</f>
        <v>#N/A</v>
      </c>
      <c r="N35" s="1" t="e">
        <f>IF(OR(Table1[[#This Row],[Type (TX, RX, TRX, Oscillator)]]="RX", Table1[[#This Row],[Type (TX, RX, TRX, Oscillator)]]="RX FE"),Table1[[#This Row],[Total Number of Elements (TX + RX)]],#N/A)</f>
        <v>#N/A</v>
      </c>
      <c r="O35" s="1" t="e">
        <f t="shared" si="7"/>
        <v>#N/A</v>
      </c>
      <c r="P35" s="1" t="e">
        <f t="shared" si="8"/>
        <v>#N/A</v>
      </c>
      <c r="Q35" s="1" t="e">
        <f t="shared" si="9"/>
        <v>#N/A</v>
      </c>
      <c r="R35" s="1" t="e">
        <f t="shared" si="10"/>
        <v>#N/A</v>
      </c>
      <c r="S35" s="1" t="e">
        <f t="shared" si="11"/>
        <v>#N/A</v>
      </c>
      <c r="T35" s="1" t="e">
        <f t="shared" si="12"/>
        <v>#N/A</v>
      </c>
      <c r="U35" s="1" t="e">
        <f t="shared" si="13"/>
        <v>#N/A</v>
      </c>
      <c r="W35" s="1">
        <f>IF(OR(Table1[[#This Row],[Type (TX, RX, TRX, Oscillator)]]="TRX",Table1[[#This Row],[Type (TX, RX, TRX, Oscillator)]]="TRX FE"),Table1[[#This Row],[Frequency (GHz)]],#N/A)</f>
        <v>28</v>
      </c>
      <c r="X35" s="30">
        <f>IF(OR(Table1[[#This Row],[Type (TX, RX, TRX, Oscillator)]]="TRX", Table1[[#This Row],[Type (TX, RX, TRX, Oscillator)]]="TRX FE"),DATE(Table1[[#This Row],[Year ]],Table1[[#This Row],[Month]],1),#N/A)</f>
        <v>43313</v>
      </c>
      <c r="Y35" s="1">
        <f>IF(OR(Table1[[#This Row],[Type (TX, RX, TRX, Oscillator)]]="TRX", Table1[[#This Row],[Type (TX, RX, TRX, Oscillator)]]="TRX FE"),Table1[[#This Row],[Total Number of Elements (TX + RX)]],#N/A)</f>
        <v>128</v>
      </c>
      <c r="Z35" s="1" t="e">
        <f t="shared" si="14"/>
        <v>#N/A</v>
      </c>
      <c r="AA35" s="1">
        <f t="shared" si="15"/>
        <v>128</v>
      </c>
      <c r="AB35" s="1" t="e">
        <f t="shared" si="16"/>
        <v>#N/A</v>
      </c>
      <c r="AC35" s="1" t="e">
        <f t="shared" si="17"/>
        <v>#N/A</v>
      </c>
      <c r="AD35" s="1" t="e">
        <f t="shared" si="18"/>
        <v>#N/A</v>
      </c>
      <c r="AE35" s="1" t="e">
        <f t="shared" si="19"/>
        <v>#N/A</v>
      </c>
      <c r="AF35" s="1" t="e">
        <f t="shared" si="20"/>
        <v>#N/A</v>
      </c>
      <c r="AH35" s="1" t="e">
        <f>IF(Table1[[#This Row],[Type (TX, RX, TRX, Oscillator)]]="Oscillator",Table1[[#This Row],[Frequency (GHz)]],#N/A)</f>
        <v>#N/A</v>
      </c>
      <c r="AI35" s="30" t="e">
        <f>IF(Table1[[#This Row],[Type (TX, RX, TRX, Oscillator)]]="Oscillator",DATE(Table1[[#This Row],[Year ]],Table1[[#This Row],[Month]],1),#N/A)</f>
        <v>#N/A</v>
      </c>
      <c r="AJ35" s="1" t="e">
        <f>IF(Table1[[#This Row],[Type (TX, RX, TRX, Oscillator)]]="Oscillator",Table1[[#This Row],[Total Number of Elements (TX + RX)]],#N/A)</f>
        <v>#N/A</v>
      </c>
      <c r="AK35" s="1" t="e">
        <f t="shared" si="21"/>
        <v>#N/A</v>
      </c>
      <c r="AL35" s="1" t="e">
        <f t="shared" si="22"/>
        <v>#N/A</v>
      </c>
      <c r="AM35" s="1" t="e">
        <f t="shared" si="23"/>
        <v>#N/A</v>
      </c>
      <c r="AN35" s="1" t="e">
        <f t="shared" si="24"/>
        <v>#N/A</v>
      </c>
      <c r="AO35" s="1" t="e">
        <f t="shared" si="25"/>
        <v>#N/A</v>
      </c>
      <c r="AP35" s="1" t="e">
        <f t="shared" si="26"/>
        <v>#N/A</v>
      </c>
      <c r="AQ35" s="1" t="e">
        <f t="shared" si="27"/>
        <v>#N/A</v>
      </c>
      <c r="AS35" s="1" t="e">
        <f>IF(Table1[[#This Row],[Type (TX, RX, TRX, Oscillator)]]="Relay",Table1[[#This Row],[Frequency (GHz)]],#N/A)</f>
        <v>#N/A</v>
      </c>
      <c r="AT35" s="30" t="e">
        <f>IF(Table1[[#This Row],[Type (TX, RX, TRX, Oscillator)]]="Relay",DATE(Table1[[#This Row],[Year ]],Table1[[#This Row],[Month]],1),#N/A)</f>
        <v>#N/A</v>
      </c>
      <c r="AU35" s="1" t="e">
        <f>IF(Table1[[#This Row],[Type (TX, RX, TRX, Oscillator)]]="Relay",Table1[[#This Row],[Total Number of Elements (TX + RX)]],#N/A)</f>
        <v>#N/A</v>
      </c>
      <c r="AV35" s="1" t="e">
        <f t="shared" si="28"/>
        <v>#N/A</v>
      </c>
      <c r="AW35" s="1" t="e">
        <f t="shared" si="29"/>
        <v>#N/A</v>
      </c>
      <c r="AX35" s="1" t="e">
        <f t="shared" si="30"/>
        <v>#N/A</v>
      </c>
      <c r="AY35" s="1" t="e">
        <f t="shared" si="31"/>
        <v>#N/A</v>
      </c>
      <c r="AZ35" s="1" t="e">
        <f t="shared" si="32"/>
        <v>#N/A</v>
      </c>
      <c r="BA35" s="1" t="e">
        <f t="shared" si="33"/>
        <v>#N/A</v>
      </c>
      <c r="BB35" s="1" t="e">
        <f t="shared" si="34"/>
        <v>#N/A</v>
      </c>
    </row>
    <row r="36" spans="1:54" x14ac:dyDescent="0.2">
      <c r="A36" s="1">
        <f>IF(OR(Table1[[#This Row],[Type (TX, RX, TRX, Oscillator)]]="TX", Table1[[#This Row],[Type (TX, RX, TRX, Oscillator)]]="TX FE"),Table1[[#This Row],[Frequency (GHz)]],#N/A)</f>
        <v>94</v>
      </c>
      <c r="B36" s="30">
        <f>IF(OR(Table1[[#This Row],[Type (TX, RX, TRX, Oscillator)]]="TX", Table1[[#This Row],[Type (TX, RX, TRX, Oscillator)]]="TX FE"),DATE(Table1[[#This Row],[Year ]],Table1[[#This Row],[Month]],1),#N/A)</f>
        <v>43344</v>
      </c>
      <c r="C36" s="1">
        <f>IF(OR(Table1[[#This Row],[Type (TX, RX, TRX, Oscillator)]]="TX",Table1[[#This Row],[Type (TX, RX, TRX, Oscillator)]]="TX FE"),Table1[[#This Row],[Total Number of Elements (TX + RX)]],#N/A)</f>
        <v>64</v>
      </c>
      <c r="D36" s="1" t="e">
        <f t="shared" si="0"/>
        <v>#N/A</v>
      </c>
      <c r="E36" s="1" t="e">
        <f t="shared" si="1"/>
        <v>#N/A</v>
      </c>
      <c r="F36" s="1" t="e">
        <f t="shared" si="2"/>
        <v>#N/A</v>
      </c>
      <c r="G36" s="1">
        <f t="shared" si="3"/>
        <v>64</v>
      </c>
      <c r="H36" s="1" t="e">
        <f t="shared" si="4"/>
        <v>#N/A</v>
      </c>
      <c r="I36" s="1" t="e">
        <f t="shared" si="5"/>
        <v>#N/A</v>
      </c>
      <c r="J36" s="1" t="e">
        <f t="shared" si="6"/>
        <v>#N/A</v>
      </c>
      <c r="L36" s="1" t="e">
        <f>IF(OR(Table1[[#This Row],[Type (TX, RX, TRX, Oscillator)]]="RX", Table1[[#This Row],[Type (TX, RX, TRX, Oscillator)]]="RX FE"),Table1[[#This Row],[Frequency (GHz)]],#N/A)</f>
        <v>#N/A</v>
      </c>
      <c r="M36" s="30" t="e">
        <f>IF(OR(Table1[[#This Row],[Type (TX, RX, TRX, Oscillator)]]="RX", Table1[[#This Row],[Type (TX, RX, TRX, Oscillator)]]="RX FE"),DATE(Table1[[#This Row],[Year ]],Table1[[#This Row],[Month]],1),#N/A)</f>
        <v>#N/A</v>
      </c>
      <c r="N36" s="1" t="e">
        <f>IF(OR(Table1[[#This Row],[Type (TX, RX, TRX, Oscillator)]]="RX", Table1[[#This Row],[Type (TX, RX, TRX, Oscillator)]]="RX FE"),Table1[[#This Row],[Total Number of Elements (TX + RX)]],#N/A)</f>
        <v>#N/A</v>
      </c>
      <c r="O36" s="1" t="e">
        <f t="shared" si="7"/>
        <v>#N/A</v>
      </c>
      <c r="P36" s="1" t="e">
        <f t="shared" si="8"/>
        <v>#N/A</v>
      </c>
      <c r="Q36" s="1" t="e">
        <f t="shared" si="9"/>
        <v>#N/A</v>
      </c>
      <c r="R36" s="1" t="e">
        <f t="shared" si="10"/>
        <v>#N/A</v>
      </c>
      <c r="S36" s="1" t="e">
        <f t="shared" si="11"/>
        <v>#N/A</v>
      </c>
      <c r="T36" s="1" t="e">
        <f t="shared" si="12"/>
        <v>#N/A</v>
      </c>
      <c r="U36" s="1" t="e">
        <f t="shared" si="13"/>
        <v>#N/A</v>
      </c>
      <c r="W36" s="1" t="e">
        <f>IF(OR(Table1[[#This Row],[Type (TX, RX, TRX, Oscillator)]]="TRX",Table1[[#This Row],[Type (TX, RX, TRX, Oscillator)]]="TRX FE"),Table1[[#This Row],[Frequency (GHz)]],#N/A)</f>
        <v>#N/A</v>
      </c>
      <c r="X36" s="30" t="e">
        <f>IF(OR(Table1[[#This Row],[Type (TX, RX, TRX, Oscillator)]]="TRX", Table1[[#This Row],[Type (TX, RX, TRX, Oscillator)]]="TRX FE"),DATE(Table1[[#This Row],[Year ]],Table1[[#This Row],[Month]],1),#N/A)</f>
        <v>#N/A</v>
      </c>
      <c r="Y36" s="1" t="e">
        <f>IF(OR(Table1[[#This Row],[Type (TX, RX, TRX, Oscillator)]]="TRX", Table1[[#This Row],[Type (TX, RX, TRX, Oscillator)]]="TRX FE"),Table1[[#This Row],[Total Number of Elements (TX + RX)]],#N/A)</f>
        <v>#N/A</v>
      </c>
      <c r="Z36" s="1" t="e">
        <f t="shared" si="14"/>
        <v>#N/A</v>
      </c>
      <c r="AA36" s="1" t="e">
        <f t="shared" si="15"/>
        <v>#N/A</v>
      </c>
      <c r="AB36" s="1" t="e">
        <f t="shared" si="16"/>
        <v>#N/A</v>
      </c>
      <c r="AC36" s="1" t="e">
        <f t="shared" si="17"/>
        <v>#N/A</v>
      </c>
      <c r="AD36" s="1" t="e">
        <f t="shared" si="18"/>
        <v>#N/A</v>
      </c>
      <c r="AE36" s="1" t="e">
        <f t="shared" si="19"/>
        <v>#N/A</v>
      </c>
      <c r="AF36" s="1" t="e">
        <f t="shared" si="20"/>
        <v>#N/A</v>
      </c>
      <c r="AH36" s="1" t="e">
        <f>IF(Table1[[#This Row],[Type (TX, RX, TRX, Oscillator)]]="Oscillator",Table1[[#This Row],[Frequency (GHz)]],#N/A)</f>
        <v>#N/A</v>
      </c>
      <c r="AI36" s="30" t="e">
        <f>IF(Table1[[#This Row],[Type (TX, RX, TRX, Oscillator)]]="Oscillator",DATE(Table1[[#This Row],[Year ]],Table1[[#This Row],[Month]],1),#N/A)</f>
        <v>#N/A</v>
      </c>
      <c r="AJ36" s="1" t="e">
        <f>IF(Table1[[#This Row],[Type (TX, RX, TRX, Oscillator)]]="Oscillator",Table1[[#This Row],[Total Number of Elements (TX + RX)]],#N/A)</f>
        <v>#N/A</v>
      </c>
      <c r="AK36" s="1" t="e">
        <f t="shared" si="21"/>
        <v>#N/A</v>
      </c>
      <c r="AL36" s="1" t="e">
        <f t="shared" si="22"/>
        <v>#N/A</v>
      </c>
      <c r="AM36" s="1" t="e">
        <f t="shared" si="23"/>
        <v>#N/A</v>
      </c>
      <c r="AN36" s="1" t="e">
        <f t="shared" si="24"/>
        <v>#N/A</v>
      </c>
      <c r="AO36" s="1" t="e">
        <f t="shared" si="25"/>
        <v>#N/A</v>
      </c>
      <c r="AP36" s="1" t="e">
        <f t="shared" si="26"/>
        <v>#N/A</v>
      </c>
      <c r="AQ36" s="1" t="e">
        <f t="shared" si="27"/>
        <v>#N/A</v>
      </c>
      <c r="AS36" s="1" t="e">
        <f>IF(Table1[[#This Row],[Type (TX, RX, TRX, Oscillator)]]="Relay",Table1[[#This Row],[Frequency (GHz)]],#N/A)</f>
        <v>#N/A</v>
      </c>
      <c r="AT36" s="30" t="e">
        <f>IF(Table1[[#This Row],[Type (TX, RX, TRX, Oscillator)]]="Relay",DATE(Table1[[#This Row],[Year ]],Table1[[#This Row],[Month]],1),#N/A)</f>
        <v>#N/A</v>
      </c>
      <c r="AU36" s="1" t="e">
        <f>IF(Table1[[#This Row],[Type (TX, RX, TRX, Oscillator)]]="Relay",Table1[[#This Row],[Total Number of Elements (TX + RX)]],#N/A)</f>
        <v>#N/A</v>
      </c>
      <c r="AV36" s="1" t="e">
        <f t="shared" si="28"/>
        <v>#N/A</v>
      </c>
      <c r="AW36" s="1" t="e">
        <f t="shared" si="29"/>
        <v>#N/A</v>
      </c>
      <c r="AX36" s="1" t="e">
        <f t="shared" si="30"/>
        <v>#N/A</v>
      </c>
      <c r="AY36" s="1" t="e">
        <f t="shared" si="31"/>
        <v>#N/A</v>
      </c>
      <c r="AZ36" s="1" t="e">
        <f t="shared" si="32"/>
        <v>#N/A</v>
      </c>
      <c r="BA36" s="1" t="e">
        <f t="shared" si="33"/>
        <v>#N/A</v>
      </c>
      <c r="BB36" s="1" t="e">
        <f t="shared" si="34"/>
        <v>#N/A</v>
      </c>
    </row>
    <row r="37" spans="1:54" x14ac:dyDescent="0.2">
      <c r="A37" s="1" t="e">
        <f>IF(OR(Table1[[#This Row],[Type (TX, RX, TRX, Oscillator)]]="TX", Table1[[#This Row],[Type (TX, RX, TRX, Oscillator)]]="TX FE"),Table1[[#This Row],[Frequency (GHz)]],#N/A)</f>
        <v>#N/A</v>
      </c>
      <c r="B37" s="30" t="e">
        <f>IF(OR(Table1[[#This Row],[Type (TX, RX, TRX, Oscillator)]]="TX", Table1[[#This Row],[Type (TX, RX, TRX, Oscillator)]]="TX FE"),DATE(Table1[[#This Row],[Year ]],Table1[[#This Row],[Month]],1),#N/A)</f>
        <v>#N/A</v>
      </c>
      <c r="C37" s="1" t="e">
        <f>IF(OR(Table1[[#This Row],[Type (TX, RX, TRX, Oscillator)]]="TX",Table1[[#This Row],[Type (TX, RX, TRX, Oscillator)]]="TX FE"),Table1[[#This Row],[Total Number of Elements (TX + RX)]],#N/A)</f>
        <v>#N/A</v>
      </c>
      <c r="D37" s="1" t="e">
        <f t="shared" si="0"/>
        <v>#N/A</v>
      </c>
      <c r="E37" s="1" t="e">
        <f t="shared" si="1"/>
        <v>#N/A</v>
      </c>
      <c r="F37" s="1" t="e">
        <f t="shared" si="2"/>
        <v>#N/A</v>
      </c>
      <c r="G37" s="1" t="e">
        <f t="shared" si="3"/>
        <v>#N/A</v>
      </c>
      <c r="H37" s="1" t="e">
        <f t="shared" si="4"/>
        <v>#N/A</v>
      </c>
      <c r="I37" s="1" t="e">
        <f t="shared" si="5"/>
        <v>#N/A</v>
      </c>
      <c r="J37" s="1" t="e">
        <f t="shared" si="6"/>
        <v>#N/A</v>
      </c>
      <c r="L37" s="1">
        <f>IF(OR(Table1[[#This Row],[Type (TX, RX, TRX, Oscillator)]]="RX", Table1[[#This Row],[Type (TX, RX, TRX, Oscillator)]]="RX FE"),Table1[[#This Row],[Frequency (GHz)]],#N/A)</f>
        <v>94</v>
      </c>
      <c r="M37" s="30">
        <f>IF(OR(Table1[[#This Row],[Type (TX, RX, TRX, Oscillator)]]="RX", Table1[[#This Row],[Type (TX, RX, TRX, Oscillator)]]="RX FE"),DATE(Table1[[#This Row],[Year ]],Table1[[#This Row],[Month]],1),#N/A)</f>
        <v>43344</v>
      </c>
      <c r="N37" s="1">
        <f>IF(OR(Table1[[#This Row],[Type (TX, RX, TRX, Oscillator)]]="RX", Table1[[#This Row],[Type (TX, RX, TRX, Oscillator)]]="RX FE"),Table1[[#This Row],[Total Number of Elements (TX + RX)]],#N/A)</f>
        <v>64</v>
      </c>
      <c r="O37" s="1" t="e">
        <f t="shared" si="7"/>
        <v>#N/A</v>
      </c>
      <c r="P37" s="1" t="e">
        <f t="shared" si="8"/>
        <v>#N/A</v>
      </c>
      <c r="Q37" s="1" t="e">
        <f t="shared" si="9"/>
        <v>#N/A</v>
      </c>
      <c r="R37" s="1">
        <f t="shared" si="10"/>
        <v>64</v>
      </c>
      <c r="S37" s="1" t="e">
        <f t="shared" si="11"/>
        <v>#N/A</v>
      </c>
      <c r="T37" s="1" t="e">
        <f t="shared" si="12"/>
        <v>#N/A</v>
      </c>
      <c r="U37" s="1" t="e">
        <f t="shared" si="13"/>
        <v>#N/A</v>
      </c>
      <c r="W37" s="1" t="e">
        <f>IF(OR(Table1[[#This Row],[Type (TX, RX, TRX, Oscillator)]]="TRX",Table1[[#This Row],[Type (TX, RX, TRX, Oscillator)]]="TRX FE"),Table1[[#This Row],[Frequency (GHz)]],#N/A)</f>
        <v>#N/A</v>
      </c>
      <c r="X37" s="30" t="e">
        <f>IF(OR(Table1[[#This Row],[Type (TX, RX, TRX, Oscillator)]]="TRX", Table1[[#This Row],[Type (TX, RX, TRX, Oscillator)]]="TRX FE"),DATE(Table1[[#This Row],[Year ]],Table1[[#This Row],[Month]],1),#N/A)</f>
        <v>#N/A</v>
      </c>
      <c r="Y37" s="1" t="e">
        <f>IF(OR(Table1[[#This Row],[Type (TX, RX, TRX, Oscillator)]]="TRX", Table1[[#This Row],[Type (TX, RX, TRX, Oscillator)]]="TRX FE"),Table1[[#This Row],[Total Number of Elements (TX + RX)]],#N/A)</f>
        <v>#N/A</v>
      </c>
      <c r="Z37" s="1" t="e">
        <f t="shared" si="14"/>
        <v>#N/A</v>
      </c>
      <c r="AA37" s="1" t="e">
        <f t="shared" si="15"/>
        <v>#N/A</v>
      </c>
      <c r="AB37" s="1" t="e">
        <f t="shared" si="16"/>
        <v>#N/A</v>
      </c>
      <c r="AC37" s="1" t="e">
        <f t="shared" si="17"/>
        <v>#N/A</v>
      </c>
      <c r="AD37" s="1" t="e">
        <f t="shared" si="18"/>
        <v>#N/A</v>
      </c>
      <c r="AE37" s="1" t="e">
        <f t="shared" si="19"/>
        <v>#N/A</v>
      </c>
      <c r="AF37" s="1" t="e">
        <f t="shared" si="20"/>
        <v>#N/A</v>
      </c>
      <c r="AH37" s="1" t="e">
        <f>IF(Table1[[#This Row],[Type (TX, RX, TRX, Oscillator)]]="Oscillator",Table1[[#This Row],[Frequency (GHz)]],#N/A)</f>
        <v>#N/A</v>
      </c>
      <c r="AI37" s="30" t="e">
        <f>IF(Table1[[#This Row],[Type (TX, RX, TRX, Oscillator)]]="Oscillator",DATE(Table1[[#This Row],[Year ]],Table1[[#This Row],[Month]],1),#N/A)</f>
        <v>#N/A</v>
      </c>
      <c r="AJ37" s="1" t="e">
        <f>IF(Table1[[#This Row],[Type (TX, RX, TRX, Oscillator)]]="Oscillator",Table1[[#This Row],[Total Number of Elements (TX + RX)]],#N/A)</f>
        <v>#N/A</v>
      </c>
      <c r="AK37" s="1" t="e">
        <f t="shared" si="21"/>
        <v>#N/A</v>
      </c>
      <c r="AL37" s="1" t="e">
        <f t="shared" si="22"/>
        <v>#N/A</v>
      </c>
      <c r="AM37" s="1" t="e">
        <f t="shared" si="23"/>
        <v>#N/A</v>
      </c>
      <c r="AN37" s="1" t="e">
        <f t="shared" si="24"/>
        <v>#N/A</v>
      </c>
      <c r="AO37" s="1" t="e">
        <f t="shared" si="25"/>
        <v>#N/A</v>
      </c>
      <c r="AP37" s="1" t="e">
        <f t="shared" si="26"/>
        <v>#N/A</v>
      </c>
      <c r="AQ37" s="1" t="e">
        <f t="shared" si="27"/>
        <v>#N/A</v>
      </c>
      <c r="AS37" s="1" t="e">
        <f>IF(Table1[[#This Row],[Type (TX, RX, TRX, Oscillator)]]="Relay",Table1[[#This Row],[Frequency (GHz)]],#N/A)</f>
        <v>#N/A</v>
      </c>
      <c r="AT37" s="30" t="e">
        <f>IF(Table1[[#This Row],[Type (TX, RX, TRX, Oscillator)]]="Relay",DATE(Table1[[#This Row],[Year ]],Table1[[#This Row],[Month]],1),#N/A)</f>
        <v>#N/A</v>
      </c>
      <c r="AU37" s="1" t="e">
        <f>IF(Table1[[#This Row],[Type (TX, RX, TRX, Oscillator)]]="Relay",Table1[[#This Row],[Total Number of Elements (TX + RX)]],#N/A)</f>
        <v>#N/A</v>
      </c>
      <c r="AV37" s="1" t="e">
        <f t="shared" si="28"/>
        <v>#N/A</v>
      </c>
      <c r="AW37" s="1" t="e">
        <f t="shared" si="29"/>
        <v>#N/A</v>
      </c>
      <c r="AX37" s="1" t="e">
        <f t="shared" si="30"/>
        <v>#N/A</v>
      </c>
      <c r="AY37" s="1" t="e">
        <f t="shared" si="31"/>
        <v>#N/A</v>
      </c>
      <c r="AZ37" s="1" t="e">
        <f t="shared" si="32"/>
        <v>#N/A</v>
      </c>
      <c r="BA37" s="1" t="e">
        <f t="shared" si="33"/>
        <v>#N/A</v>
      </c>
      <c r="BB37" s="1" t="e">
        <f t="shared" si="34"/>
        <v>#N/A</v>
      </c>
    </row>
    <row r="38" spans="1:54" x14ac:dyDescent="0.2">
      <c r="A38" s="1" t="e">
        <f>IF(OR(Table1[[#This Row],[Type (TX, RX, TRX, Oscillator)]]="TX", Table1[[#This Row],[Type (TX, RX, TRX, Oscillator)]]="TX FE"),Table1[[#This Row],[Frequency (GHz)]],#N/A)</f>
        <v>#N/A</v>
      </c>
      <c r="B38" s="30" t="e">
        <f>IF(OR(Table1[[#This Row],[Type (TX, RX, TRX, Oscillator)]]="TX", Table1[[#This Row],[Type (TX, RX, TRX, Oscillator)]]="TX FE"),DATE(Table1[[#This Row],[Year ]],Table1[[#This Row],[Month]],1),#N/A)</f>
        <v>#N/A</v>
      </c>
      <c r="C38" s="1" t="e">
        <f>IF(OR(Table1[[#This Row],[Type (TX, RX, TRX, Oscillator)]]="TX",Table1[[#This Row],[Type (TX, RX, TRX, Oscillator)]]="TX FE"),Table1[[#This Row],[Total Number of Elements (TX + RX)]],#N/A)</f>
        <v>#N/A</v>
      </c>
      <c r="D38" s="1" t="e">
        <f t="shared" si="0"/>
        <v>#N/A</v>
      </c>
      <c r="E38" s="1" t="e">
        <f t="shared" si="1"/>
        <v>#N/A</v>
      </c>
      <c r="F38" s="1" t="e">
        <f t="shared" si="2"/>
        <v>#N/A</v>
      </c>
      <c r="G38" s="1" t="e">
        <f t="shared" si="3"/>
        <v>#N/A</v>
      </c>
      <c r="H38" s="1" t="e">
        <f t="shared" si="4"/>
        <v>#N/A</v>
      </c>
      <c r="I38" s="1" t="e">
        <f t="shared" si="5"/>
        <v>#N/A</v>
      </c>
      <c r="J38" s="1" t="e">
        <f t="shared" si="6"/>
        <v>#N/A</v>
      </c>
      <c r="L38" s="1" t="e">
        <f>IF(OR(Table1[[#This Row],[Type (TX, RX, TRX, Oscillator)]]="RX", Table1[[#This Row],[Type (TX, RX, TRX, Oscillator)]]="RX FE"),Table1[[#This Row],[Frequency (GHz)]],#N/A)</f>
        <v>#N/A</v>
      </c>
      <c r="M38" s="30" t="e">
        <f>IF(OR(Table1[[#This Row],[Type (TX, RX, TRX, Oscillator)]]="RX", Table1[[#This Row],[Type (TX, RX, TRX, Oscillator)]]="RX FE"),DATE(Table1[[#This Row],[Year ]],Table1[[#This Row],[Month]],1),#N/A)</f>
        <v>#N/A</v>
      </c>
      <c r="N38" s="1" t="e">
        <f>IF(OR(Table1[[#This Row],[Type (TX, RX, TRX, Oscillator)]]="RX", Table1[[#This Row],[Type (TX, RX, TRX, Oscillator)]]="RX FE"),Table1[[#This Row],[Total Number of Elements (TX + RX)]],#N/A)</f>
        <v>#N/A</v>
      </c>
      <c r="O38" s="1" t="e">
        <f t="shared" si="7"/>
        <v>#N/A</v>
      </c>
      <c r="P38" s="1" t="e">
        <f t="shared" si="8"/>
        <v>#N/A</v>
      </c>
      <c r="Q38" s="1" t="e">
        <f t="shared" si="9"/>
        <v>#N/A</v>
      </c>
      <c r="R38" s="1" t="e">
        <f t="shared" si="10"/>
        <v>#N/A</v>
      </c>
      <c r="S38" s="1" t="e">
        <f t="shared" si="11"/>
        <v>#N/A</v>
      </c>
      <c r="T38" s="1" t="e">
        <f t="shared" si="12"/>
        <v>#N/A</v>
      </c>
      <c r="U38" s="1" t="e">
        <f t="shared" si="13"/>
        <v>#N/A</v>
      </c>
      <c r="W38" s="1" t="e">
        <f>IF(OR(Table1[[#This Row],[Type (TX, RX, TRX, Oscillator)]]="TRX",Table1[[#This Row],[Type (TX, RX, TRX, Oscillator)]]="TRX FE"),Table1[[#This Row],[Frequency (GHz)]],#N/A)</f>
        <v>#N/A</v>
      </c>
      <c r="X38" s="30" t="e">
        <f>IF(OR(Table1[[#This Row],[Type (TX, RX, TRX, Oscillator)]]="TRX", Table1[[#This Row],[Type (TX, RX, TRX, Oscillator)]]="TRX FE"),DATE(Table1[[#This Row],[Year ]],Table1[[#This Row],[Month]],1),#N/A)</f>
        <v>#N/A</v>
      </c>
      <c r="Y38" s="1" t="e">
        <f>IF(OR(Table1[[#This Row],[Type (TX, RX, TRX, Oscillator)]]="TRX", Table1[[#This Row],[Type (TX, RX, TRX, Oscillator)]]="TRX FE"),Table1[[#This Row],[Total Number of Elements (TX + RX)]],#N/A)</f>
        <v>#N/A</v>
      </c>
      <c r="Z38" s="1" t="e">
        <f t="shared" si="14"/>
        <v>#N/A</v>
      </c>
      <c r="AA38" s="1" t="e">
        <f t="shared" si="15"/>
        <v>#N/A</v>
      </c>
      <c r="AB38" s="1" t="e">
        <f t="shared" si="16"/>
        <v>#N/A</v>
      </c>
      <c r="AC38" s="1" t="e">
        <f t="shared" si="17"/>
        <v>#N/A</v>
      </c>
      <c r="AD38" s="1" t="e">
        <f t="shared" si="18"/>
        <v>#N/A</v>
      </c>
      <c r="AE38" s="1" t="e">
        <f t="shared" si="19"/>
        <v>#N/A</v>
      </c>
      <c r="AF38" s="1" t="e">
        <f t="shared" si="20"/>
        <v>#N/A</v>
      </c>
      <c r="AH38" s="1" t="e">
        <f>IF(Table1[[#This Row],[Type (TX, RX, TRX, Oscillator)]]="Oscillator",Table1[[#This Row],[Frequency (GHz)]],#N/A)</f>
        <v>#N/A</v>
      </c>
      <c r="AI38" s="30" t="e">
        <f>IF(Table1[[#This Row],[Type (TX, RX, TRX, Oscillator)]]="Oscillator",DATE(Table1[[#This Row],[Year ]],Table1[[#This Row],[Month]],1),#N/A)</f>
        <v>#N/A</v>
      </c>
      <c r="AJ38" s="1" t="e">
        <f>IF(Table1[[#This Row],[Type (TX, RX, TRX, Oscillator)]]="Oscillator",Table1[[#This Row],[Total Number of Elements (TX + RX)]],#N/A)</f>
        <v>#N/A</v>
      </c>
      <c r="AK38" s="1" t="e">
        <f t="shared" si="21"/>
        <v>#N/A</v>
      </c>
      <c r="AL38" s="1" t="e">
        <f t="shared" si="22"/>
        <v>#N/A</v>
      </c>
      <c r="AM38" s="1" t="e">
        <f t="shared" si="23"/>
        <v>#N/A</v>
      </c>
      <c r="AN38" s="1" t="e">
        <f t="shared" si="24"/>
        <v>#N/A</v>
      </c>
      <c r="AO38" s="1" t="e">
        <f t="shared" si="25"/>
        <v>#N/A</v>
      </c>
      <c r="AP38" s="1" t="e">
        <f t="shared" si="26"/>
        <v>#N/A</v>
      </c>
      <c r="AQ38" s="1" t="e">
        <f t="shared" si="27"/>
        <v>#N/A</v>
      </c>
      <c r="AS38" s="1">
        <f>IF(Table1[[#This Row],[Type (TX, RX, TRX, Oscillator)]]="Relay",Table1[[#This Row],[Frequency (GHz)]],#N/A)</f>
        <v>42</v>
      </c>
      <c r="AT38" s="30">
        <f>IF(Table1[[#This Row],[Type (TX, RX, TRX, Oscillator)]]="Relay",DATE(Table1[[#This Row],[Year ]],Table1[[#This Row],[Month]],1),#N/A)</f>
        <v>43435</v>
      </c>
      <c r="AU38" s="1">
        <f>IF(Table1[[#This Row],[Type (TX, RX, TRX, Oscillator)]]="Relay",Table1[[#This Row],[Total Number of Elements (TX + RX)]],#N/A)</f>
        <v>0</v>
      </c>
      <c r="AV38" s="1" t="e">
        <f t="shared" si="28"/>
        <v>#N/A</v>
      </c>
      <c r="AW38" s="1">
        <f t="shared" si="29"/>
        <v>0</v>
      </c>
      <c r="AX38" s="1" t="e">
        <f t="shared" si="30"/>
        <v>#N/A</v>
      </c>
      <c r="AY38" s="1" t="e">
        <f t="shared" si="31"/>
        <v>#N/A</v>
      </c>
      <c r="AZ38" s="1" t="e">
        <f t="shared" si="32"/>
        <v>#N/A</v>
      </c>
      <c r="BA38" s="1" t="e">
        <f t="shared" si="33"/>
        <v>#N/A</v>
      </c>
      <c r="BB38" s="1" t="e">
        <f t="shared" si="34"/>
        <v>#N/A</v>
      </c>
    </row>
    <row r="39" spans="1:54" x14ac:dyDescent="0.2">
      <c r="A39" s="1" t="e">
        <f>IF(OR(Table1[[#This Row],[Type (TX, RX, TRX, Oscillator)]]="TX", Table1[[#This Row],[Type (TX, RX, TRX, Oscillator)]]="TX FE"),Table1[[#This Row],[Frequency (GHz)]],#N/A)</f>
        <v>#N/A</v>
      </c>
      <c r="B39" s="30" t="e">
        <f>IF(OR(Table1[[#This Row],[Type (TX, RX, TRX, Oscillator)]]="TX", Table1[[#This Row],[Type (TX, RX, TRX, Oscillator)]]="TX FE"),DATE(Table1[[#This Row],[Year ]],Table1[[#This Row],[Month]],1),#N/A)</f>
        <v>#N/A</v>
      </c>
      <c r="C39" s="1" t="e">
        <f>IF(OR(Table1[[#This Row],[Type (TX, RX, TRX, Oscillator)]]="TX",Table1[[#This Row],[Type (TX, RX, TRX, Oscillator)]]="TX FE"),Table1[[#This Row],[Total Number of Elements (TX + RX)]],#N/A)</f>
        <v>#N/A</v>
      </c>
      <c r="D39" s="1" t="e">
        <f t="shared" si="0"/>
        <v>#N/A</v>
      </c>
      <c r="E39" s="1" t="e">
        <f t="shared" si="1"/>
        <v>#N/A</v>
      </c>
      <c r="F39" s="1" t="e">
        <f t="shared" si="2"/>
        <v>#N/A</v>
      </c>
      <c r="G39" s="1" t="e">
        <f t="shared" si="3"/>
        <v>#N/A</v>
      </c>
      <c r="H39" s="1" t="e">
        <f t="shared" si="4"/>
        <v>#N/A</v>
      </c>
      <c r="I39" s="1" t="e">
        <f t="shared" si="5"/>
        <v>#N/A</v>
      </c>
      <c r="J39" s="1" t="e">
        <f t="shared" si="6"/>
        <v>#N/A</v>
      </c>
      <c r="L39" s="1" t="e">
        <f>IF(OR(Table1[[#This Row],[Type (TX, RX, TRX, Oscillator)]]="RX", Table1[[#This Row],[Type (TX, RX, TRX, Oscillator)]]="RX FE"),Table1[[#This Row],[Frequency (GHz)]],#N/A)</f>
        <v>#N/A</v>
      </c>
      <c r="M39" s="30" t="e">
        <f>IF(OR(Table1[[#This Row],[Type (TX, RX, TRX, Oscillator)]]="RX", Table1[[#This Row],[Type (TX, RX, TRX, Oscillator)]]="RX FE"),DATE(Table1[[#This Row],[Year ]],Table1[[#This Row],[Month]],1),#N/A)</f>
        <v>#N/A</v>
      </c>
      <c r="N39" s="1" t="e">
        <f>IF(OR(Table1[[#This Row],[Type (TX, RX, TRX, Oscillator)]]="RX", Table1[[#This Row],[Type (TX, RX, TRX, Oscillator)]]="RX FE"),Table1[[#This Row],[Total Number of Elements (TX + RX)]],#N/A)</f>
        <v>#N/A</v>
      </c>
      <c r="O39" s="1" t="e">
        <f t="shared" si="7"/>
        <v>#N/A</v>
      </c>
      <c r="P39" s="1" t="e">
        <f t="shared" si="8"/>
        <v>#N/A</v>
      </c>
      <c r="Q39" s="1" t="e">
        <f t="shared" si="9"/>
        <v>#N/A</v>
      </c>
      <c r="R39" s="1" t="e">
        <f t="shared" si="10"/>
        <v>#N/A</v>
      </c>
      <c r="S39" s="1" t="e">
        <f t="shared" si="11"/>
        <v>#N/A</v>
      </c>
      <c r="T39" s="1" t="e">
        <f t="shared" si="12"/>
        <v>#N/A</v>
      </c>
      <c r="U39" s="1" t="e">
        <f t="shared" si="13"/>
        <v>#N/A</v>
      </c>
      <c r="W39" s="1">
        <f>IF(OR(Table1[[#This Row],[Type (TX, RX, TRX, Oscillator)]]="TRX",Table1[[#This Row],[Type (TX, RX, TRX, Oscillator)]]="TRX FE"),Table1[[#This Row],[Frequency (GHz)]],#N/A)</f>
        <v>145</v>
      </c>
      <c r="X39" s="30">
        <f>IF(OR(Table1[[#This Row],[Type (TX, RX, TRX, Oscillator)]]="TRX", Table1[[#This Row],[Type (TX, RX, TRX, Oscillator)]]="TRX FE"),DATE(Table1[[#This Row],[Year ]],Table1[[#This Row],[Month]],1),#N/A)</f>
        <v>43497</v>
      </c>
      <c r="Y39" s="1">
        <f>IF(OR(Table1[[#This Row],[Type (TX, RX, TRX, Oscillator)]]="TRX", Table1[[#This Row],[Type (TX, RX, TRX, Oscillator)]]="TRX FE"),Table1[[#This Row],[Total Number of Elements (TX + RX)]],#N/A)</f>
        <v>2</v>
      </c>
      <c r="Z39" s="1" t="e">
        <f t="shared" si="14"/>
        <v>#N/A</v>
      </c>
      <c r="AA39" s="1" t="e">
        <f t="shared" si="15"/>
        <v>#N/A</v>
      </c>
      <c r="AB39" s="1" t="e">
        <f t="shared" si="16"/>
        <v>#N/A</v>
      </c>
      <c r="AC39" s="1" t="e">
        <f t="shared" si="17"/>
        <v>#N/A</v>
      </c>
      <c r="AD39" s="1">
        <f t="shared" si="18"/>
        <v>2</v>
      </c>
      <c r="AE39" s="1" t="e">
        <f t="shared" si="19"/>
        <v>#N/A</v>
      </c>
      <c r="AF39" s="1" t="e">
        <f t="shared" si="20"/>
        <v>#N/A</v>
      </c>
      <c r="AH39" s="1" t="e">
        <f>IF(Table1[[#This Row],[Type (TX, RX, TRX, Oscillator)]]="Oscillator",Table1[[#This Row],[Frequency (GHz)]],#N/A)</f>
        <v>#N/A</v>
      </c>
      <c r="AI39" s="30" t="e">
        <f>IF(Table1[[#This Row],[Type (TX, RX, TRX, Oscillator)]]="Oscillator",DATE(Table1[[#This Row],[Year ]],Table1[[#This Row],[Month]],1),#N/A)</f>
        <v>#N/A</v>
      </c>
      <c r="AJ39" s="1" t="e">
        <f>IF(Table1[[#This Row],[Type (TX, RX, TRX, Oscillator)]]="Oscillator",Table1[[#This Row],[Total Number of Elements (TX + RX)]],#N/A)</f>
        <v>#N/A</v>
      </c>
      <c r="AK39" s="1" t="e">
        <f t="shared" si="21"/>
        <v>#N/A</v>
      </c>
      <c r="AL39" s="1" t="e">
        <f t="shared" si="22"/>
        <v>#N/A</v>
      </c>
      <c r="AM39" s="1" t="e">
        <f t="shared" si="23"/>
        <v>#N/A</v>
      </c>
      <c r="AN39" s="1" t="e">
        <f t="shared" si="24"/>
        <v>#N/A</v>
      </c>
      <c r="AO39" s="1" t="e">
        <f t="shared" si="25"/>
        <v>#N/A</v>
      </c>
      <c r="AP39" s="1" t="e">
        <f t="shared" si="26"/>
        <v>#N/A</v>
      </c>
      <c r="AQ39" s="1" t="e">
        <f t="shared" si="27"/>
        <v>#N/A</v>
      </c>
      <c r="AS39" s="1" t="e">
        <f>IF(Table1[[#This Row],[Type (TX, RX, TRX, Oscillator)]]="Relay",Table1[[#This Row],[Frequency (GHz)]],#N/A)</f>
        <v>#N/A</v>
      </c>
      <c r="AT39" s="30" t="e">
        <f>IF(Table1[[#This Row],[Type (TX, RX, TRX, Oscillator)]]="Relay",DATE(Table1[[#This Row],[Year ]],Table1[[#This Row],[Month]],1),#N/A)</f>
        <v>#N/A</v>
      </c>
      <c r="AU39" s="1" t="e">
        <f>IF(Table1[[#This Row],[Type (TX, RX, TRX, Oscillator)]]="Relay",Table1[[#This Row],[Total Number of Elements (TX + RX)]],#N/A)</f>
        <v>#N/A</v>
      </c>
      <c r="AV39" s="1" t="e">
        <f t="shared" si="28"/>
        <v>#N/A</v>
      </c>
      <c r="AW39" s="1" t="e">
        <f t="shared" si="29"/>
        <v>#N/A</v>
      </c>
      <c r="AX39" s="1" t="e">
        <f t="shared" si="30"/>
        <v>#N/A</v>
      </c>
      <c r="AY39" s="1" t="e">
        <f t="shared" si="31"/>
        <v>#N/A</v>
      </c>
      <c r="AZ39" s="1" t="e">
        <f t="shared" si="32"/>
        <v>#N/A</v>
      </c>
      <c r="BA39" s="1" t="e">
        <f t="shared" si="33"/>
        <v>#N/A</v>
      </c>
      <c r="BB39" s="1" t="e">
        <f t="shared" si="34"/>
        <v>#N/A</v>
      </c>
    </row>
    <row r="40" spans="1:54" x14ac:dyDescent="0.2">
      <c r="A40" s="1" t="e">
        <f>IF(OR(Table1[[#This Row],[Type (TX, RX, TRX, Oscillator)]]="TX", Table1[[#This Row],[Type (TX, RX, TRX, Oscillator)]]="TX FE"),Table1[[#This Row],[Frequency (GHz)]],#N/A)</f>
        <v>#N/A</v>
      </c>
      <c r="B40" s="30" t="e">
        <f>IF(OR(Table1[[#This Row],[Type (TX, RX, TRX, Oscillator)]]="TX", Table1[[#This Row],[Type (TX, RX, TRX, Oscillator)]]="TX FE"),DATE(Table1[[#This Row],[Year ]],Table1[[#This Row],[Month]],1),#N/A)</f>
        <v>#N/A</v>
      </c>
      <c r="C40" s="1" t="e">
        <f>IF(OR(Table1[[#This Row],[Type (TX, RX, TRX, Oscillator)]]="TX",Table1[[#This Row],[Type (TX, RX, TRX, Oscillator)]]="TX FE"),Table1[[#This Row],[Total Number of Elements (TX + RX)]],#N/A)</f>
        <v>#N/A</v>
      </c>
      <c r="D40" s="1" t="e">
        <f t="shared" si="0"/>
        <v>#N/A</v>
      </c>
      <c r="E40" s="1" t="e">
        <f t="shared" si="1"/>
        <v>#N/A</v>
      </c>
      <c r="F40" s="1" t="e">
        <f t="shared" si="2"/>
        <v>#N/A</v>
      </c>
      <c r="G40" s="1" t="e">
        <f t="shared" si="3"/>
        <v>#N/A</v>
      </c>
      <c r="H40" s="1" t="e">
        <f t="shared" si="4"/>
        <v>#N/A</v>
      </c>
      <c r="I40" s="1" t="e">
        <f t="shared" si="5"/>
        <v>#N/A</v>
      </c>
      <c r="J40" s="1" t="e">
        <f t="shared" si="6"/>
        <v>#N/A</v>
      </c>
      <c r="L40" s="1">
        <f>IF(OR(Table1[[#This Row],[Type (TX, RX, TRX, Oscillator)]]="RX", Table1[[#This Row],[Type (TX, RX, TRX, Oscillator)]]="RX FE"),Table1[[#This Row],[Frequency (GHz)]],#N/A)</f>
        <v>27</v>
      </c>
      <c r="M40" s="30">
        <f>IF(OR(Table1[[#This Row],[Type (TX, RX, TRX, Oscillator)]]="RX", Table1[[#This Row],[Type (TX, RX, TRX, Oscillator)]]="RX FE"),DATE(Table1[[#This Row],[Year ]],Table1[[#This Row],[Month]],1),#N/A)</f>
        <v>43497</v>
      </c>
      <c r="N40" s="1">
        <f>IF(OR(Table1[[#This Row],[Type (TX, RX, TRX, Oscillator)]]="RX", Table1[[#This Row],[Type (TX, RX, TRX, Oscillator)]]="RX FE"),Table1[[#This Row],[Total Number of Elements (TX + RX)]],#N/A)</f>
        <v>4</v>
      </c>
      <c r="O40" s="1" t="e">
        <f t="shared" si="7"/>
        <v>#N/A</v>
      </c>
      <c r="P40" s="1">
        <f t="shared" si="8"/>
        <v>4</v>
      </c>
      <c r="Q40" s="1" t="e">
        <f t="shared" si="9"/>
        <v>#N/A</v>
      </c>
      <c r="R40" s="1" t="e">
        <f t="shared" si="10"/>
        <v>#N/A</v>
      </c>
      <c r="S40" s="1" t="e">
        <f t="shared" si="11"/>
        <v>#N/A</v>
      </c>
      <c r="T40" s="1" t="e">
        <f t="shared" si="12"/>
        <v>#N/A</v>
      </c>
      <c r="U40" s="1" t="e">
        <f t="shared" si="13"/>
        <v>#N/A</v>
      </c>
      <c r="W40" s="1" t="e">
        <f>IF(OR(Table1[[#This Row],[Type (TX, RX, TRX, Oscillator)]]="TRX",Table1[[#This Row],[Type (TX, RX, TRX, Oscillator)]]="TRX FE"),Table1[[#This Row],[Frequency (GHz)]],#N/A)</f>
        <v>#N/A</v>
      </c>
      <c r="X40" s="30" t="e">
        <f>IF(OR(Table1[[#This Row],[Type (TX, RX, TRX, Oscillator)]]="TRX", Table1[[#This Row],[Type (TX, RX, TRX, Oscillator)]]="TRX FE"),DATE(Table1[[#This Row],[Year ]],Table1[[#This Row],[Month]],1),#N/A)</f>
        <v>#N/A</v>
      </c>
      <c r="Y40" s="1" t="e">
        <f>IF(OR(Table1[[#This Row],[Type (TX, RX, TRX, Oscillator)]]="TRX", Table1[[#This Row],[Type (TX, RX, TRX, Oscillator)]]="TRX FE"),Table1[[#This Row],[Total Number of Elements (TX + RX)]],#N/A)</f>
        <v>#N/A</v>
      </c>
      <c r="Z40" s="1" t="e">
        <f t="shared" si="14"/>
        <v>#N/A</v>
      </c>
      <c r="AA40" s="1" t="e">
        <f t="shared" si="15"/>
        <v>#N/A</v>
      </c>
      <c r="AB40" s="1" t="e">
        <f t="shared" si="16"/>
        <v>#N/A</v>
      </c>
      <c r="AC40" s="1" t="e">
        <f t="shared" si="17"/>
        <v>#N/A</v>
      </c>
      <c r="AD40" s="1" t="e">
        <f t="shared" si="18"/>
        <v>#N/A</v>
      </c>
      <c r="AE40" s="1" t="e">
        <f t="shared" si="19"/>
        <v>#N/A</v>
      </c>
      <c r="AF40" s="1" t="e">
        <f t="shared" si="20"/>
        <v>#N/A</v>
      </c>
      <c r="AH40" s="1" t="e">
        <f>IF(Table1[[#This Row],[Type (TX, RX, TRX, Oscillator)]]="Oscillator",Table1[[#This Row],[Frequency (GHz)]],#N/A)</f>
        <v>#N/A</v>
      </c>
      <c r="AI40" s="30" t="e">
        <f>IF(Table1[[#This Row],[Type (TX, RX, TRX, Oscillator)]]="Oscillator",DATE(Table1[[#This Row],[Year ]],Table1[[#This Row],[Month]],1),#N/A)</f>
        <v>#N/A</v>
      </c>
      <c r="AJ40" s="1" t="e">
        <f>IF(Table1[[#This Row],[Type (TX, RX, TRX, Oscillator)]]="Oscillator",Table1[[#This Row],[Total Number of Elements (TX + RX)]],#N/A)</f>
        <v>#N/A</v>
      </c>
      <c r="AK40" s="1" t="e">
        <f t="shared" si="21"/>
        <v>#N/A</v>
      </c>
      <c r="AL40" s="1" t="e">
        <f t="shared" si="22"/>
        <v>#N/A</v>
      </c>
      <c r="AM40" s="1" t="e">
        <f t="shared" si="23"/>
        <v>#N/A</v>
      </c>
      <c r="AN40" s="1" t="e">
        <f t="shared" si="24"/>
        <v>#N/A</v>
      </c>
      <c r="AO40" s="1" t="e">
        <f t="shared" si="25"/>
        <v>#N/A</v>
      </c>
      <c r="AP40" s="1" t="e">
        <f t="shared" si="26"/>
        <v>#N/A</v>
      </c>
      <c r="AQ40" s="1" t="e">
        <f t="shared" si="27"/>
        <v>#N/A</v>
      </c>
      <c r="AS40" s="1" t="e">
        <f>IF(Table1[[#This Row],[Type (TX, RX, TRX, Oscillator)]]="Relay",Table1[[#This Row],[Frequency (GHz)]],#N/A)</f>
        <v>#N/A</v>
      </c>
      <c r="AT40" s="30" t="e">
        <f>IF(Table1[[#This Row],[Type (TX, RX, TRX, Oscillator)]]="Relay",DATE(Table1[[#This Row],[Year ]],Table1[[#This Row],[Month]],1),#N/A)</f>
        <v>#N/A</v>
      </c>
      <c r="AU40" s="1" t="e">
        <f>IF(Table1[[#This Row],[Type (TX, RX, TRX, Oscillator)]]="Relay",Table1[[#This Row],[Total Number of Elements (TX + RX)]],#N/A)</f>
        <v>#N/A</v>
      </c>
      <c r="AV40" s="1" t="e">
        <f t="shared" si="28"/>
        <v>#N/A</v>
      </c>
      <c r="AW40" s="1" t="e">
        <f t="shared" si="29"/>
        <v>#N/A</v>
      </c>
      <c r="AX40" s="1" t="e">
        <f t="shared" si="30"/>
        <v>#N/A</v>
      </c>
      <c r="AY40" s="1" t="e">
        <f t="shared" si="31"/>
        <v>#N/A</v>
      </c>
      <c r="AZ40" s="1" t="e">
        <f t="shared" si="32"/>
        <v>#N/A</v>
      </c>
      <c r="BA40" s="1" t="e">
        <f t="shared" si="33"/>
        <v>#N/A</v>
      </c>
      <c r="BB40" s="1" t="e">
        <f t="shared" si="34"/>
        <v>#N/A</v>
      </c>
    </row>
    <row r="41" spans="1:54" x14ac:dyDescent="0.2">
      <c r="A41" s="1" t="e">
        <f>IF(OR(Table1[[#This Row],[Type (TX, RX, TRX, Oscillator)]]="TX", Table1[[#This Row],[Type (TX, RX, TRX, Oscillator)]]="TX FE"),Table1[[#This Row],[Frequency (GHz)]],#N/A)</f>
        <v>#N/A</v>
      </c>
      <c r="B41" s="30" t="e">
        <f>IF(OR(Table1[[#This Row],[Type (TX, RX, TRX, Oscillator)]]="TX", Table1[[#This Row],[Type (TX, RX, TRX, Oscillator)]]="TX FE"),DATE(Table1[[#This Row],[Year ]],Table1[[#This Row],[Month]],1),#N/A)</f>
        <v>#N/A</v>
      </c>
      <c r="C41" s="1" t="e">
        <f>IF(OR(Table1[[#This Row],[Type (TX, RX, TRX, Oscillator)]]="TX",Table1[[#This Row],[Type (TX, RX, TRX, Oscillator)]]="TX FE"),Table1[[#This Row],[Total Number of Elements (TX + RX)]],#N/A)</f>
        <v>#N/A</v>
      </c>
      <c r="D41" s="1" t="e">
        <f t="shared" si="0"/>
        <v>#N/A</v>
      </c>
      <c r="E41" s="1" t="e">
        <f t="shared" si="1"/>
        <v>#N/A</v>
      </c>
      <c r="F41" s="1" t="e">
        <f t="shared" si="2"/>
        <v>#N/A</v>
      </c>
      <c r="G41" s="1" t="e">
        <f t="shared" si="3"/>
        <v>#N/A</v>
      </c>
      <c r="H41" s="1" t="e">
        <f t="shared" si="4"/>
        <v>#N/A</v>
      </c>
      <c r="I41" s="1" t="e">
        <f t="shared" si="5"/>
        <v>#N/A</v>
      </c>
      <c r="J41" s="1" t="e">
        <f t="shared" si="6"/>
        <v>#N/A</v>
      </c>
      <c r="L41" s="1">
        <f>IF(OR(Table1[[#This Row],[Type (TX, RX, TRX, Oscillator)]]="RX", Table1[[#This Row],[Type (TX, RX, TRX, Oscillator)]]="RX FE"),Table1[[#This Row],[Frequency (GHz)]],#N/A)</f>
        <v>41</v>
      </c>
      <c r="M41" s="30">
        <f>IF(OR(Table1[[#This Row],[Type (TX, RX, TRX, Oscillator)]]="RX", Table1[[#This Row],[Type (TX, RX, TRX, Oscillator)]]="RX FE"),DATE(Table1[[#This Row],[Year ]],Table1[[#This Row],[Month]],1),#N/A)</f>
        <v>43497</v>
      </c>
      <c r="N41" s="1">
        <f>IF(OR(Table1[[#This Row],[Type (TX, RX, TRX, Oscillator)]]="RX", Table1[[#This Row],[Type (TX, RX, TRX, Oscillator)]]="RX FE"),Table1[[#This Row],[Total Number of Elements (TX + RX)]],#N/A)</f>
        <v>4</v>
      </c>
      <c r="O41" s="1" t="e">
        <f t="shared" si="7"/>
        <v>#N/A</v>
      </c>
      <c r="P41" s="1">
        <f t="shared" si="8"/>
        <v>4</v>
      </c>
      <c r="Q41" s="1" t="e">
        <f t="shared" si="9"/>
        <v>#N/A</v>
      </c>
      <c r="R41" s="1" t="e">
        <f t="shared" si="10"/>
        <v>#N/A</v>
      </c>
      <c r="S41" s="1" t="e">
        <f t="shared" si="11"/>
        <v>#N/A</v>
      </c>
      <c r="T41" s="1" t="e">
        <f t="shared" si="12"/>
        <v>#N/A</v>
      </c>
      <c r="U41" s="1" t="e">
        <f t="shared" si="13"/>
        <v>#N/A</v>
      </c>
      <c r="W41" s="1" t="e">
        <f>IF(OR(Table1[[#This Row],[Type (TX, RX, TRX, Oscillator)]]="TRX",Table1[[#This Row],[Type (TX, RX, TRX, Oscillator)]]="TRX FE"),Table1[[#This Row],[Frequency (GHz)]],#N/A)</f>
        <v>#N/A</v>
      </c>
      <c r="X41" s="30" t="e">
        <f>IF(OR(Table1[[#This Row],[Type (TX, RX, TRX, Oscillator)]]="TRX", Table1[[#This Row],[Type (TX, RX, TRX, Oscillator)]]="TRX FE"),DATE(Table1[[#This Row],[Year ]],Table1[[#This Row],[Month]],1),#N/A)</f>
        <v>#N/A</v>
      </c>
      <c r="Y41" s="1" t="e">
        <f>IF(OR(Table1[[#This Row],[Type (TX, RX, TRX, Oscillator)]]="TRX", Table1[[#This Row],[Type (TX, RX, TRX, Oscillator)]]="TRX FE"),Table1[[#This Row],[Total Number of Elements (TX + RX)]],#N/A)</f>
        <v>#N/A</v>
      </c>
      <c r="Z41" s="1" t="e">
        <f t="shared" si="14"/>
        <v>#N/A</v>
      </c>
      <c r="AA41" s="1" t="e">
        <f t="shared" si="15"/>
        <v>#N/A</v>
      </c>
      <c r="AB41" s="1" t="e">
        <f t="shared" si="16"/>
        <v>#N/A</v>
      </c>
      <c r="AC41" s="1" t="e">
        <f t="shared" si="17"/>
        <v>#N/A</v>
      </c>
      <c r="AD41" s="1" t="e">
        <f t="shared" si="18"/>
        <v>#N/A</v>
      </c>
      <c r="AE41" s="1" t="e">
        <f t="shared" si="19"/>
        <v>#N/A</v>
      </c>
      <c r="AF41" s="1" t="e">
        <f t="shared" si="20"/>
        <v>#N/A</v>
      </c>
      <c r="AH41" s="1" t="e">
        <f>IF(Table1[[#This Row],[Type (TX, RX, TRX, Oscillator)]]="Oscillator",Table1[[#This Row],[Frequency (GHz)]],#N/A)</f>
        <v>#N/A</v>
      </c>
      <c r="AI41" s="30" t="e">
        <f>IF(Table1[[#This Row],[Type (TX, RX, TRX, Oscillator)]]="Oscillator",DATE(Table1[[#This Row],[Year ]],Table1[[#This Row],[Month]],1),#N/A)</f>
        <v>#N/A</v>
      </c>
      <c r="AJ41" s="1" t="e">
        <f>IF(Table1[[#This Row],[Type (TX, RX, TRX, Oscillator)]]="Oscillator",Table1[[#This Row],[Total Number of Elements (TX + RX)]],#N/A)</f>
        <v>#N/A</v>
      </c>
      <c r="AK41" s="1" t="e">
        <f t="shared" si="21"/>
        <v>#N/A</v>
      </c>
      <c r="AL41" s="1" t="e">
        <f t="shared" si="22"/>
        <v>#N/A</v>
      </c>
      <c r="AM41" s="1" t="e">
        <f t="shared" si="23"/>
        <v>#N/A</v>
      </c>
      <c r="AN41" s="1" t="e">
        <f t="shared" si="24"/>
        <v>#N/A</v>
      </c>
      <c r="AO41" s="1" t="e">
        <f t="shared" si="25"/>
        <v>#N/A</v>
      </c>
      <c r="AP41" s="1" t="e">
        <f t="shared" si="26"/>
        <v>#N/A</v>
      </c>
      <c r="AQ41" s="1" t="e">
        <f t="shared" si="27"/>
        <v>#N/A</v>
      </c>
      <c r="AS41" s="1" t="e">
        <f>IF(Table1[[#This Row],[Type (TX, RX, TRX, Oscillator)]]="Relay",Table1[[#This Row],[Frequency (GHz)]],#N/A)</f>
        <v>#N/A</v>
      </c>
      <c r="AT41" s="30" t="e">
        <f>IF(Table1[[#This Row],[Type (TX, RX, TRX, Oscillator)]]="Relay",DATE(Table1[[#This Row],[Year ]],Table1[[#This Row],[Month]],1),#N/A)</f>
        <v>#N/A</v>
      </c>
      <c r="AU41" s="1" t="e">
        <f>IF(Table1[[#This Row],[Type (TX, RX, TRX, Oscillator)]]="Relay",Table1[[#This Row],[Total Number of Elements (TX + RX)]],#N/A)</f>
        <v>#N/A</v>
      </c>
      <c r="AV41" s="1" t="e">
        <f t="shared" si="28"/>
        <v>#N/A</v>
      </c>
      <c r="AW41" s="1" t="e">
        <f t="shared" si="29"/>
        <v>#N/A</v>
      </c>
      <c r="AX41" s="1" t="e">
        <f t="shared" si="30"/>
        <v>#N/A</v>
      </c>
      <c r="AY41" s="1" t="e">
        <f t="shared" si="31"/>
        <v>#N/A</v>
      </c>
      <c r="AZ41" s="1" t="e">
        <f t="shared" si="32"/>
        <v>#N/A</v>
      </c>
      <c r="BA41" s="1" t="e">
        <f t="shared" si="33"/>
        <v>#N/A</v>
      </c>
      <c r="BB41" s="1" t="e">
        <f t="shared" si="34"/>
        <v>#N/A</v>
      </c>
    </row>
    <row r="42" spans="1:54" x14ac:dyDescent="0.2">
      <c r="A42" s="1" t="e">
        <f>IF(OR(Table1[[#This Row],[Type (TX, RX, TRX, Oscillator)]]="TX", Table1[[#This Row],[Type (TX, RX, TRX, Oscillator)]]="TX FE"),Table1[[#This Row],[Frequency (GHz)]],#N/A)</f>
        <v>#N/A</v>
      </c>
      <c r="B42" s="30" t="e">
        <f>IF(OR(Table1[[#This Row],[Type (TX, RX, TRX, Oscillator)]]="TX", Table1[[#This Row],[Type (TX, RX, TRX, Oscillator)]]="TX FE"),DATE(Table1[[#This Row],[Year ]],Table1[[#This Row],[Month]],1),#N/A)</f>
        <v>#N/A</v>
      </c>
      <c r="C42" s="1" t="e">
        <f>IF(OR(Table1[[#This Row],[Type (TX, RX, TRX, Oscillator)]]="TX",Table1[[#This Row],[Type (TX, RX, TRX, Oscillator)]]="TX FE"),Table1[[#This Row],[Total Number of Elements (TX + RX)]],#N/A)</f>
        <v>#N/A</v>
      </c>
      <c r="D42" s="1" t="e">
        <f t="shared" si="0"/>
        <v>#N/A</v>
      </c>
      <c r="E42" s="1" t="e">
        <f t="shared" si="1"/>
        <v>#N/A</v>
      </c>
      <c r="F42" s="1" t="e">
        <f t="shared" si="2"/>
        <v>#N/A</v>
      </c>
      <c r="G42" s="1" t="e">
        <f t="shared" si="3"/>
        <v>#N/A</v>
      </c>
      <c r="H42" s="1" t="e">
        <f t="shared" si="4"/>
        <v>#N/A</v>
      </c>
      <c r="I42" s="1" t="e">
        <f t="shared" si="5"/>
        <v>#N/A</v>
      </c>
      <c r="J42" s="1" t="e">
        <f t="shared" si="6"/>
        <v>#N/A</v>
      </c>
      <c r="L42" s="1" t="e">
        <f>IF(OR(Table1[[#This Row],[Type (TX, RX, TRX, Oscillator)]]="RX", Table1[[#This Row],[Type (TX, RX, TRX, Oscillator)]]="RX FE"),Table1[[#This Row],[Frequency (GHz)]],#N/A)</f>
        <v>#N/A</v>
      </c>
      <c r="M42" s="30" t="e">
        <f>IF(OR(Table1[[#This Row],[Type (TX, RX, TRX, Oscillator)]]="RX", Table1[[#This Row],[Type (TX, RX, TRX, Oscillator)]]="RX FE"),DATE(Table1[[#This Row],[Year ]],Table1[[#This Row],[Month]],1),#N/A)</f>
        <v>#N/A</v>
      </c>
      <c r="N42" s="1" t="e">
        <f>IF(OR(Table1[[#This Row],[Type (TX, RX, TRX, Oscillator)]]="RX", Table1[[#This Row],[Type (TX, RX, TRX, Oscillator)]]="RX FE"),Table1[[#This Row],[Total Number of Elements (TX + RX)]],#N/A)</f>
        <v>#N/A</v>
      </c>
      <c r="O42" s="1" t="e">
        <f t="shared" si="7"/>
        <v>#N/A</v>
      </c>
      <c r="P42" s="1" t="e">
        <f t="shared" si="8"/>
        <v>#N/A</v>
      </c>
      <c r="Q42" s="1" t="e">
        <f t="shared" si="9"/>
        <v>#N/A</v>
      </c>
      <c r="R42" s="1" t="e">
        <f t="shared" si="10"/>
        <v>#N/A</v>
      </c>
      <c r="S42" s="1" t="e">
        <f t="shared" si="11"/>
        <v>#N/A</v>
      </c>
      <c r="T42" s="1" t="e">
        <f t="shared" si="12"/>
        <v>#N/A</v>
      </c>
      <c r="U42" s="1" t="e">
        <f t="shared" si="13"/>
        <v>#N/A</v>
      </c>
      <c r="W42" s="1">
        <f>IF(OR(Table1[[#This Row],[Type (TX, RX, TRX, Oscillator)]]="TRX",Table1[[#This Row],[Type (TX, RX, TRX, Oscillator)]]="TRX FE"),Table1[[#This Row],[Frequency (GHz)]],#N/A)</f>
        <v>73</v>
      </c>
      <c r="X42" s="30">
        <f>IF(OR(Table1[[#This Row],[Type (TX, RX, TRX, Oscillator)]]="TRX", Table1[[#This Row],[Type (TX, RX, TRX, Oscillator)]]="TRX FE"),DATE(Table1[[#This Row],[Year ]],Table1[[#This Row],[Month]],1),#N/A)</f>
        <v>43497</v>
      </c>
      <c r="Y42" s="1">
        <f>IF(OR(Table1[[#This Row],[Type (TX, RX, TRX, Oscillator)]]="TRX", Table1[[#This Row],[Type (TX, RX, TRX, Oscillator)]]="TRX FE"),Table1[[#This Row],[Total Number of Elements (TX + RX)]],#N/A)</f>
        <v>128</v>
      </c>
      <c r="Z42" s="1" t="e">
        <f t="shared" si="14"/>
        <v>#N/A</v>
      </c>
      <c r="AA42" s="1" t="e">
        <f t="shared" si="15"/>
        <v>#N/A</v>
      </c>
      <c r="AB42" s="1">
        <f t="shared" si="16"/>
        <v>128</v>
      </c>
      <c r="AC42" s="1" t="e">
        <f t="shared" si="17"/>
        <v>#N/A</v>
      </c>
      <c r="AD42" s="1" t="e">
        <f t="shared" si="18"/>
        <v>#N/A</v>
      </c>
      <c r="AE42" s="1" t="e">
        <f t="shared" si="19"/>
        <v>#N/A</v>
      </c>
      <c r="AF42" s="1" t="e">
        <f t="shared" si="20"/>
        <v>#N/A</v>
      </c>
      <c r="AH42" s="1" t="e">
        <f>IF(Table1[[#This Row],[Type (TX, RX, TRX, Oscillator)]]="Oscillator",Table1[[#This Row],[Frequency (GHz)]],#N/A)</f>
        <v>#N/A</v>
      </c>
      <c r="AI42" s="30" t="e">
        <f>IF(Table1[[#This Row],[Type (TX, RX, TRX, Oscillator)]]="Oscillator",DATE(Table1[[#This Row],[Year ]],Table1[[#This Row],[Month]],1),#N/A)</f>
        <v>#N/A</v>
      </c>
      <c r="AJ42" s="1" t="e">
        <f>IF(Table1[[#This Row],[Type (TX, RX, TRX, Oscillator)]]="Oscillator",Table1[[#This Row],[Total Number of Elements (TX + RX)]],#N/A)</f>
        <v>#N/A</v>
      </c>
      <c r="AK42" s="1" t="e">
        <f t="shared" si="21"/>
        <v>#N/A</v>
      </c>
      <c r="AL42" s="1" t="e">
        <f t="shared" si="22"/>
        <v>#N/A</v>
      </c>
      <c r="AM42" s="1" t="e">
        <f t="shared" si="23"/>
        <v>#N/A</v>
      </c>
      <c r="AN42" s="1" t="e">
        <f t="shared" si="24"/>
        <v>#N/A</v>
      </c>
      <c r="AO42" s="1" t="e">
        <f t="shared" si="25"/>
        <v>#N/A</v>
      </c>
      <c r="AP42" s="1" t="e">
        <f t="shared" si="26"/>
        <v>#N/A</v>
      </c>
      <c r="AQ42" s="1" t="e">
        <f t="shared" si="27"/>
        <v>#N/A</v>
      </c>
      <c r="AS42" s="1" t="e">
        <f>IF(Table1[[#This Row],[Type (TX, RX, TRX, Oscillator)]]="Relay",Table1[[#This Row],[Frequency (GHz)]],#N/A)</f>
        <v>#N/A</v>
      </c>
      <c r="AT42" s="30" t="e">
        <f>IF(Table1[[#This Row],[Type (TX, RX, TRX, Oscillator)]]="Relay",DATE(Table1[[#This Row],[Year ]],Table1[[#This Row],[Month]],1),#N/A)</f>
        <v>#N/A</v>
      </c>
      <c r="AU42" s="1" t="e">
        <f>IF(Table1[[#This Row],[Type (TX, RX, TRX, Oscillator)]]="Relay",Table1[[#This Row],[Total Number of Elements (TX + RX)]],#N/A)</f>
        <v>#N/A</v>
      </c>
      <c r="AV42" s="1" t="e">
        <f t="shared" si="28"/>
        <v>#N/A</v>
      </c>
      <c r="AW42" s="1" t="e">
        <f t="shared" si="29"/>
        <v>#N/A</v>
      </c>
      <c r="AX42" s="1" t="e">
        <f t="shared" si="30"/>
        <v>#N/A</v>
      </c>
      <c r="AY42" s="1" t="e">
        <f t="shared" si="31"/>
        <v>#N/A</v>
      </c>
      <c r="AZ42" s="1" t="e">
        <f t="shared" si="32"/>
        <v>#N/A</v>
      </c>
      <c r="BA42" s="1" t="e">
        <f t="shared" si="33"/>
        <v>#N/A</v>
      </c>
      <c r="BB42" s="1" t="e">
        <f t="shared" si="34"/>
        <v>#N/A</v>
      </c>
    </row>
    <row r="43" spans="1:54" x14ac:dyDescent="0.2">
      <c r="A43" s="1" t="e">
        <f>IF(OR(Table1[[#This Row],[Type (TX, RX, TRX, Oscillator)]]="TX", Table1[[#This Row],[Type (TX, RX, TRX, Oscillator)]]="TX FE"),Table1[[#This Row],[Frequency (GHz)]],#N/A)</f>
        <v>#N/A</v>
      </c>
      <c r="B43" s="30" t="e">
        <f>IF(OR(Table1[[#This Row],[Type (TX, RX, TRX, Oscillator)]]="TX", Table1[[#This Row],[Type (TX, RX, TRX, Oscillator)]]="TX FE"),DATE(Table1[[#This Row],[Year ]],Table1[[#This Row],[Month]],1),#N/A)</f>
        <v>#N/A</v>
      </c>
      <c r="C43" s="1" t="e">
        <f>IF(OR(Table1[[#This Row],[Type (TX, RX, TRX, Oscillator)]]="TX",Table1[[#This Row],[Type (TX, RX, TRX, Oscillator)]]="TX FE"),Table1[[#This Row],[Total Number of Elements (TX + RX)]],#N/A)</f>
        <v>#N/A</v>
      </c>
      <c r="D43" s="1" t="e">
        <f t="shared" si="0"/>
        <v>#N/A</v>
      </c>
      <c r="E43" s="1" t="e">
        <f t="shared" si="1"/>
        <v>#N/A</v>
      </c>
      <c r="F43" s="1" t="e">
        <f t="shared" si="2"/>
        <v>#N/A</v>
      </c>
      <c r="G43" s="1" t="e">
        <f t="shared" si="3"/>
        <v>#N/A</v>
      </c>
      <c r="H43" s="1" t="e">
        <f t="shared" si="4"/>
        <v>#N/A</v>
      </c>
      <c r="I43" s="1" t="e">
        <f t="shared" si="5"/>
        <v>#N/A</v>
      </c>
      <c r="J43" s="1" t="e">
        <f t="shared" si="6"/>
        <v>#N/A</v>
      </c>
      <c r="L43" s="1" t="e">
        <f>IF(OR(Table1[[#This Row],[Type (TX, RX, TRX, Oscillator)]]="RX", Table1[[#This Row],[Type (TX, RX, TRX, Oscillator)]]="RX FE"),Table1[[#This Row],[Frequency (GHz)]],#N/A)</f>
        <v>#N/A</v>
      </c>
      <c r="M43" s="30" t="e">
        <f>IF(OR(Table1[[#This Row],[Type (TX, RX, TRX, Oscillator)]]="RX", Table1[[#This Row],[Type (TX, RX, TRX, Oscillator)]]="RX FE"),DATE(Table1[[#This Row],[Year ]],Table1[[#This Row],[Month]],1),#N/A)</f>
        <v>#N/A</v>
      </c>
      <c r="N43" s="1" t="e">
        <f>IF(OR(Table1[[#This Row],[Type (TX, RX, TRX, Oscillator)]]="RX", Table1[[#This Row],[Type (TX, RX, TRX, Oscillator)]]="RX FE"),Table1[[#This Row],[Total Number of Elements (TX + RX)]],#N/A)</f>
        <v>#N/A</v>
      </c>
      <c r="O43" s="1" t="e">
        <f t="shared" si="7"/>
        <v>#N/A</v>
      </c>
      <c r="P43" s="1" t="e">
        <f t="shared" si="8"/>
        <v>#N/A</v>
      </c>
      <c r="Q43" s="1" t="e">
        <f t="shared" si="9"/>
        <v>#N/A</v>
      </c>
      <c r="R43" s="1" t="e">
        <f t="shared" si="10"/>
        <v>#N/A</v>
      </c>
      <c r="S43" s="1" t="e">
        <f t="shared" si="11"/>
        <v>#N/A</v>
      </c>
      <c r="T43" s="1" t="e">
        <f t="shared" si="12"/>
        <v>#N/A</v>
      </c>
      <c r="U43" s="1" t="e">
        <f t="shared" si="13"/>
        <v>#N/A</v>
      </c>
      <c r="W43" s="1">
        <f>IF(OR(Table1[[#This Row],[Type (TX, RX, TRX, Oscillator)]]="TRX",Table1[[#This Row],[Type (TX, RX, TRX, Oscillator)]]="TRX FE"),Table1[[#This Row],[Frequency (GHz)]],#N/A)</f>
        <v>265.68</v>
      </c>
      <c r="X43" s="30">
        <f>IF(OR(Table1[[#This Row],[Type (TX, RX, TRX, Oscillator)]]="TRX", Table1[[#This Row],[Type (TX, RX, TRX, Oscillator)]]="TRX FE"),DATE(Table1[[#This Row],[Year ]],Table1[[#This Row],[Month]],1),#N/A)</f>
        <v>43497</v>
      </c>
      <c r="Y43" s="1">
        <f>IF(OR(Table1[[#This Row],[Type (TX, RX, TRX, Oscillator)]]="TRX", Table1[[#This Row],[Type (TX, RX, TRX, Oscillator)]]="TRX FE"),Table1[[#This Row],[Total Number of Elements (TX + RX)]],#N/A)</f>
        <v>2</v>
      </c>
      <c r="Z43" s="1" t="e">
        <f t="shared" si="14"/>
        <v>#N/A</v>
      </c>
      <c r="AA43" s="1" t="e">
        <f t="shared" si="15"/>
        <v>#N/A</v>
      </c>
      <c r="AB43" s="1" t="e">
        <f t="shared" si="16"/>
        <v>#N/A</v>
      </c>
      <c r="AC43" s="1" t="e">
        <f t="shared" si="17"/>
        <v>#N/A</v>
      </c>
      <c r="AD43" s="1" t="e">
        <f t="shared" si="18"/>
        <v>#N/A</v>
      </c>
      <c r="AE43" s="1" t="e">
        <f t="shared" si="19"/>
        <v>#N/A</v>
      </c>
      <c r="AF43" s="1">
        <f t="shared" si="20"/>
        <v>2</v>
      </c>
      <c r="AH43" s="1" t="e">
        <f>IF(Table1[[#This Row],[Type (TX, RX, TRX, Oscillator)]]="Oscillator",Table1[[#This Row],[Frequency (GHz)]],#N/A)</f>
        <v>#N/A</v>
      </c>
      <c r="AI43" s="30" t="e">
        <f>IF(Table1[[#This Row],[Type (TX, RX, TRX, Oscillator)]]="Oscillator",DATE(Table1[[#This Row],[Year ]],Table1[[#This Row],[Month]],1),#N/A)</f>
        <v>#N/A</v>
      </c>
      <c r="AJ43" s="1" t="e">
        <f>IF(Table1[[#This Row],[Type (TX, RX, TRX, Oscillator)]]="Oscillator",Table1[[#This Row],[Total Number of Elements (TX + RX)]],#N/A)</f>
        <v>#N/A</v>
      </c>
      <c r="AK43" s="1" t="e">
        <f t="shared" si="21"/>
        <v>#N/A</v>
      </c>
      <c r="AL43" s="1" t="e">
        <f t="shared" si="22"/>
        <v>#N/A</v>
      </c>
      <c r="AM43" s="1" t="e">
        <f t="shared" si="23"/>
        <v>#N/A</v>
      </c>
      <c r="AN43" s="1" t="e">
        <f t="shared" si="24"/>
        <v>#N/A</v>
      </c>
      <c r="AO43" s="1" t="e">
        <f t="shared" si="25"/>
        <v>#N/A</v>
      </c>
      <c r="AP43" s="1" t="e">
        <f t="shared" si="26"/>
        <v>#N/A</v>
      </c>
      <c r="AQ43" s="1" t="e">
        <f t="shared" si="27"/>
        <v>#N/A</v>
      </c>
      <c r="AS43" s="1" t="e">
        <f>IF(Table1[[#This Row],[Type (TX, RX, TRX, Oscillator)]]="Relay",Table1[[#This Row],[Frequency (GHz)]],#N/A)</f>
        <v>#N/A</v>
      </c>
      <c r="AT43" s="30" t="e">
        <f>IF(Table1[[#This Row],[Type (TX, RX, TRX, Oscillator)]]="Relay",DATE(Table1[[#This Row],[Year ]],Table1[[#This Row],[Month]],1),#N/A)</f>
        <v>#N/A</v>
      </c>
      <c r="AU43" s="1" t="e">
        <f>IF(Table1[[#This Row],[Type (TX, RX, TRX, Oscillator)]]="Relay",Table1[[#This Row],[Total Number of Elements (TX + RX)]],#N/A)</f>
        <v>#N/A</v>
      </c>
      <c r="AV43" s="1" t="e">
        <f t="shared" si="28"/>
        <v>#N/A</v>
      </c>
      <c r="AW43" s="1" t="e">
        <f t="shared" si="29"/>
        <v>#N/A</v>
      </c>
      <c r="AX43" s="1" t="e">
        <f t="shared" si="30"/>
        <v>#N/A</v>
      </c>
      <c r="AY43" s="1" t="e">
        <f t="shared" si="31"/>
        <v>#N/A</v>
      </c>
      <c r="AZ43" s="1" t="e">
        <f t="shared" si="32"/>
        <v>#N/A</v>
      </c>
      <c r="BA43" s="1" t="e">
        <f t="shared" si="33"/>
        <v>#N/A</v>
      </c>
      <c r="BB43" s="1" t="e">
        <f t="shared" si="34"/>
        <v>#N/A</v>
      </c>
    </row>
    <row r="44" spans="1:54" x14ac:dyDescent="0.2">
      <c r="A44" s="1" t="e">
        <f>IF(OR(Table1[[#This Row],[Type (TX, RX, TRX, Oscillator)]]="TX", Table1[[#This Row],[Type (TX, RX, TRX, Oscillator)]]="TX FE"),Table1[[#This Row],[Frequency (GHz)]],#N/A)</f>
        <v>#N/A</v>
      </c>
      <c r="B44" s="30" t="e">
        <f>IF(OR(Table1[[#This Row],[Type (TX, RX, TRX, Oscillator)]]="TX", Table1[[#This Row],[Type (TX, RX, TRX, Oscillator)]]="TX FE"),DATE(Table1[[#This Row],[Year ]],Table1[[#This Row],[Month]],1),#N/A)</f>
        <v>#N/A</v>
      </c>
      <c r="C44" s="1" t="e">
        <f>IF(OR(Table1[[#This Row],[Type (TX, RX, TRX, Oscillator)]]="TX",Table1[[#This Row],[Type (TX, RX, TRX, Oscillator)]]="TX FE"),Table1[[#This Row],[Total Number of Elements (TX + RX)]],#N/A)</f>
        <v>#N/A</v>
      </c>
      <c r="D44" s="1" t="e">
        <f t="shared" si="0"/>
        <v>#N/A</v>
      </c>
      <c r="E44" s="1" t="e">
        <f t="shared" si="1"/>
        <v>#N/A</v>
      </c>
      <c r="F44" s="1" t="e">
        <f t="shared" si="2"/>
        <v>#N/A</v>
      </c>
      <c r="G44" s="1" t="e">
        <f t="shared" si="3"/>
        <v>#N/A</v>
      </c>
      <c r="H44" s="1" t="e">
        <f t="shared" si="4"/>
        <v>#N/A</v>
      </c>
      <c r="I44" s="1" t="e">
        <f t="shared" si="5"/>
        <v>#N/A</v>
      </c>
      <c r="J44" s="1" t="e">
        <f t="shared" si="6"/>
        <v>#N/A</v>
      </c>
      <c r="L44" s="1">
        <f>IF(OR(Table1[[#This Row],[Type (TX, RX, TRX, Oscillator)]]="RX", Table1[[#This Row],[Type (TX, RX, TRX, Oscillator)]]="RX FE"),Table1[[#This Row],[Frequency (GHz)]],#N/A)</f>
        <v>24.5</v>
      </c>
      <c r="M44" s="30">
        <f>IF(OR(Table1[[#This Row],[Type (TX, RX, TRX, Oscillator)]]="RX", Table1[[#This Row],[Type (TX, RX, TRX, Oscillator)]]="RX FE"),DATE(Table1[[#This Row],[Year ]],Table1[[#This Row],[Month]],1),#N/A)</f>
        <v>43617</v>
      </c>
      <c r="N44" s="1">
        <f>IF(OR(Table1[[#This Row],[Type (TX, RX, TRX, Oscillator)]]="RX", Table1[[#This Row],[Type (TX, RX, TRX, Oscillator)]]="RX FE"),Table1[[#This Row],[Total Number of Elements (TX + RX)]],#N/A)</f>
        <v>1</v>
      </c>
      <c r="O44" s="1" t="e">
        <f t="shared" si="7"/>
        <v>#N/A</v>
      </c>
      <c r="P44" s="1">
        <f t="shared" si="8"/>
        <v>1</v>
      </c>
      <c r="Q44" s="1" t="e">
        <f t="shared" si="9"/>
        <v>#N/A</v>
      </c>
      <c r="R44" s="1" t="e">
        <f t="shared" si="10"/>
        <v>#N/A</v>
      </c>
      <c r="S44" s="1" t="e">
        <f t="shared" si="11"/>
        <v>#N/A</v>
      </c>
      <c r="T44" s="1" t="e">
        <f t="shared" si="12"/>
        <v>#N/A</v>
      </c>
      <c r="U44" s="1" t="e">
        <f t="shared" si="13"/>
        <v>#N/A</v>
      </c>
      <c r="W44" s="1" t="e">
        <f>IF(OR(Table1[[#This Row],[Type (TX, RX, TRX, Oscillator)]]="TRX",Table1[[#This Row],[Type (TX, RX, TRX, Oscillator)]]="TRX FE"),Table1[[#This Row],[Frequency (GHz)]],#N/A)</f>
        <v>#N/A</v>
      </c>
      <c r="X44" s="30" t="e">
        <f>IF(OR(Table1[[#This Row],[Type (TX, RX, TRX, Oscillator)]]="TRX", Table1[[#This Row],[Type (TX, RX, TRX, Oscillator)]]="TRX FE"),DATE(Table1[[#This Row],[Year ]],Table1[[#This Row],[Month]],1),#N/A)</f>
        <v>#N/A</v>
      </c>
      <c r="Y44" s="1" t="e">
        <f>IF(OR(Table1[[#This Row],[Type (TX, RX, TRX, Oscillator)]]="TRX", Table1[[#This Row],[Type (TX, RX, TRX, Oscillator)]]="TRX FE"),Table1[[#This Row],[Total Number of Elements (TX + RX)]],#N/A)</f>
        <v>#N/A</v>
      </c>
      <c r="Z44" s="1" t="e">
        <f t="shared" si="14"/>
        <v>#N/A</v>
      </c>
      <c r="AA44" s="1" t="e">
        <f t="shared" si="15"/>
        <v>#N/A</v>
      </c>
      <c r="AB44" s="1" t="e">
        <f t="shared" si="16"/>
        <v>#N/A</v>
      </c>
      <c r="AC44" s="1" t="e">
        <f t="shared" si="17"/>
        <v>#N/A</v>
      </c>
      <c r="AD44" s="1" t="e">
        <f t="shared" si="18"/>
        <v>#N/A</v>
      </c>
      <c r="AE44" s="1" t="e">
        <f t="shared" si="19"/>
        <v>#N/A</v>
      </c>
      <c r="AF44" s="1" t="e">
        <f t="shared" si="20"/>
        <v>#N/A</v>
      </c>
      <c r="AH44" s="1" t="e">
        <f>IF(Table1[[#This Row],[Type (TX, RX, TRX, Oscillator)]]="Oscillator",Table1[[#This Row],[Frequency (GHz)]],#N/A)</f>
        <v>#N/A</v>
      </c>
      <c r="AI44" s="30" t="e">
        <f>IF(Table1[[#This Row],[Type (TX, RX, TRX, Oscillator)]]="Oscillator",DATE(Table1[[#This Row],[Year ]],Table1[[#This Row],[Month]],1),#N/A)</f>
        <v>#N/A</v>
      </c>
      <c r="AJ44" s="1" t="e">
        <f>IF(Table1[[#This Row],[Type (TX, RX, TRX, Oscillator)]]="Oscillator",Table1[[#This Row],[Total Number of Elements (TX + RX)]],#N/A)</f>
        <v>#N/A</v>
      </c>
      <c r="AK44" s="1" t="e">
        <f t="shared" si="21"/>
        <v>#N/A</v>
      </c>
      <c r="AL44" s="1" t="e">
        <f t="shared" si="22"/>
        <v>#N/A</v>
      </c>
      <c r="AM44" s="1" t="e">
        <f t="shared" si="23"/>
        <v>#N/A</v>
      </c>
      <c r="AN44" s="1" t="e">
        <f t="shared" si="24"/>
        <v>#N/A</v>
      </c>
      <c r="AO44" s="1" t="e">
        <f t="shared" si="25"/>
        <v>#N/A</v>
      </c>
      <c r="AP44" s="1" t="e">
        <f t="shared" si="26"/>
        <v>#N/A</v>
      </c>
      <c r="AQ44" s="1" t="e">
        <f t="shared" si="27"/>
        <v>#N/A</v>
      </c>
      <c r="AS44" s="1" t="e">
        <f>IF(Table1[[#This Row],[Type (TX, RX, TRX, Oscillator)]]="Relay",Table1[[#This Row],[Frequency (GHz)]],#N/A)</f>
        <v>#N/A</v>
      </c>
      <c r="AT44" s="30" t="e">
        <f>IF(Table1[[#This Row],[Type (TX, RX, TRX, Oscillator)]]="Relay",DATE(Table1[[#This Row],[Year ]],Table1[[#This Row],[Month]],1),#N/A)</f>
        <v>#N/A</v>
      </c>
      <c r="AU44" s="1" t="e">
        <f>IF(Table1[[#This Row],[Type (TX, RX, TRX, Oscillator)]]="Relay",Table1[[#This Row],[Total Number of Elements (TX + RX)]],#N/A)</f>
        <v>#N/A</v>
      </c>
      <c r="AV44" s="1" t="e">
        <f t="shared" si="28"/>
        <v>#N/A</v>
      </c>
      <c r="AW44" s="1" t="e">
        <f t="shared" si="29"/>
        <v>#N/A</v>
      </c>
      <c r="AX44" s="1" t="e">
        <f t="shared" si="30"/>
        <v>#N/A</v>
      </c>
      <c r="AY44" s="1" t="e">
        <f t="shared" si="31"/>
        <v>#N/A</v>
      </c>
      <c r="AZ44" s="1" t="e">
        <f t="shared" si="32"/>
        <v>#N/A</v>
      </c>
      <c r="BA44" s="1" t="e">
        <f t="shared" si="33"/>
        <v>#N/A</v>
      </c>
      <c r="BB44" s="1" t="e">
        <f t="shared" si="34"/>
        <v>#N/A</v>
      </c>
    </row>
    <row r="45" spans="1:54" x14ac:dyDescent="0.2">
      <c r="A45" s="1" t="e">
        <f>IF(OR(Table1[[#This Row],[Type (TX, RX, TRX, Oscillator)]]="TX", Table1[[#This Row],[Type (TX, RX, TRX, Oscillator)]]="TX FE"),Table1[[#This Row],[Frequency (GHz)]],#N/A)</f>
        <v>#N/A</v>
      </c>
      <c r="B45" s="30" t="e">
        <f>IF(OR(Table1[[#This Row],[Type (TX, RX, TRX, Oscillator)]]="TX", Table1[[#This Row],[Type (TX, RX, TRX, Oscillator)]]="TX FE"),DATE(Table1[[#This Row],[Year ]],Table1[[#This Row],[Month]],1),#N/A)</f>
        <v>#N/A</v>
      </c>
      <c r="C45" s="1" t="e">
        <f>IF(OR(Table1[[#This Row],[Type (TX, RX, TRX, Oscillator)]]="TX",Table1[[#This Row],[Type (TX, RX, TRX, Oscillator)]]="TX FE"),Table1[[#This Row],[Total Number of Elements (TX + RX)]],#N/A)</f>
        <v>#N/A</v>
      </c>
      <c r="D45" s="1" t="e">
        <f t="shared" si="0"/>
        <v>#N/A</v>
      </c>
      <c r="E45" s="1" t="e">
        <f t="shared" si="1"/>
        <v>#N/A</v>
      </c>
      <c r="F45" s="1" t="e">
        <f t="shared" si="2"/>
        <v>#N/A</v>
      </c>
      <c r="G45" s="1" t="e">
        <f t="shared" si="3"/>
        <v>#N/A</v>
      </c>
      <c r="H45" s="1" t="e">
        <f t="shared" si="4"/>
        <v>#N/A</v>
      </c>
      <c r="I45" s="1" t="e">
        <f t="shared" si="5"/>
        <v>#N/A</v>
      </c>
      <c r="J45" s="1" t="e">
        <f t="shared" si="6"/>
        <v>#N/A</v>
      </c>
      <c r="L45" s="1">
        <f>IF(OR(Table1[[#This Row],[Type (TX, RX, TRX, Oscillator)]]="RX", Table1[[#This Row],[Type (TX, RX, TRX, Oscillator)]]="RX FE"),Table1[[#This Row],[Frequency (GHz)]],#N/A)</f>
        <v>43</v>
      </c>
      <c r="M45" s="30">
        <f>IF(OR(Table1[[#This Row],[Type (TX, RX, TRX, Oscillator)]]="RX", Table1[[#This Row],[Type (TX, RX, TRX, Oscillator)]]="RX FE"),DATE(Table1[[#This Row],[Year ]],Table1[[#This Row],[Month]],1),#N/A)</f>
        <v>43617</v>
      </c>
      <c r="N45" s="1">
        <f>IF(OR(Table1[[#This Row],[Type (TX, RX, TRX, Oscillator)]]="RX", Table1[[#This Row],[Type (TX, RX, TRX, Oscillator)]]="RX FE"),Table1[[#This Row],[Total Number of Elements (TX + RX)]],#N/A)</f>
        <v>1</v>
      </c>
      <c r="O45" s="1" t="e">
        <f t="shared" si="7"/>
        <v>#N/A</v>
      </c>
      <c r="P45" s="1">
        <f t="shared" si="8"/>
        <v>1</v>
      </c>
      <c r="Q45" s="1" t="e">
        <f t="shared" si="9"/>
        <v>#N/A</v>
      </c>
      <c r="R45" s="1" t="e">
        <f t="shared" si="10"/>
        <v>#N/A</v>
      </c>
      <c r="S45" s="1" t="e">
        <f t="shared" si="11"/>
        <v>#N/A</v>
      </c>
      <c r="T45" s="1" t="e">
        <f t="shared" si="12"/>
        <v>#N/A</v>
      </c>
      <c r="U45" s="1" t="e">
        <f t="shared" si="13"/>
        <v>#N/A</v>
      </c>
      <c r="W45" s="1" t="e">
        <f>IF(OR(Table1[[#This Row],[Type (TX, RX, TRX, Oscillator)]]="TRX",Table1[[#This Row],[Type (TX, RX, TRX, Oscillator)]]="TRX FE"),Table1[[#This Row],[Frequency (GHz)]],#N/A)</f>
        <v>#N/A</v>
      </c>
      <c r="X45" s="30" t="e">
        <f>IF(OR(Table1[[#This Row],[Type (TX, RX, TRX, Oscillator)]]="TRX", Table1[[#This Row],[Type (TX, RX, TRX, Oscillator)]]="TRX FE"),DATE(Table1[[#This Row],[Year ]],Table1[[#This Row],[Month]],1),#N/A)</f>
        <v>#N/A</v>
      </c>
      <c r="Y45" s="1" t="e">
        <f>IF(OR(Table1[[#This Row],[Type (TX, RX, TRX, Oscillator)]]="TRX", Table1[[#This Row],[Type (TX, RX, TRX, Oscillator)]]="TRX FE"),Table1[[#This Row],[Total Number of Elements (TX + RX)]],#N/A)</f>
        <v>#N/A</v>
      </c>
      <c r="Z45" s="1" t="e">
        <f t="shared" si="14"/>
        <v>#N/A</v>
      </c>
      <c r="AA45" s="1" t="e">
        <f t="shared" si="15"/>
        <v>#N/A</v>
      </c>
      <c r="AB45" s="1" t="e">
        <f t="shared" si="16"/>
        <v>#N/A</v>
      </c>
      <c r="AC45" s="1" t="e">
        <f t="shared" si="17"/>
        <v>#N/A</v>
      </c>
      <c r="AD45" s="1" t="e">
        <f t="shared" si="18"/>
        <v>#N/A</v>
      </c>
      <c r="AE45" s="1" t="e">
        <f t="shared" si="19"/>
        <v>#N/A</v>
      </c>
      <c r="AF45" s="1" t="e">
        <f t="shared" si="20"/>
        <v>#N/A</v>
      </c>
      <c r="AH45" s="1" t="e">
        <f>IF(Table1[[#This Row],[Type (TX, RX, TRX, Oscillator)]]="Oscillator",Table1[[#This Row],[Frequency (GHz)]],#N/A)</f>
        <v>#N/A</v>
      </c>
      <c r="AI45" s="30" t="e">
        <f>IF(Table1[[#This Row],[Type (TX, RX, TRX, Oscillator)]]="Oscillator",DATE(Table1[[#This Row],[Year ]],Table1[[#This Row],[Month]],1),#N/A)</f>
        <v>#N/A</v>
      </c>
      <c r="AJ45" s="1" t="e">
        <f>IF(Table1[[#This Row],[Type (TX, RX, TRX, Oscillator)]]="Oscillator",Table1[[#This Row],[Total Number of Elements (TX + RX)]],#N/A)</f>
        <v>#N/A</v>
      </c>
      <c r="AK45" s="1" t="e">
        <f t="shared" si="21"/>
        <v>#N/A</v>
      </c>
      <c r="AL45" s="1" t="e">
        <f t="shared" si="22"/>
        <v>#N/A</v>
      </c>
      <c r="AM45" s="1" t="e">
        <f t="shared" si="23"/>
        <v>#N/A</v>
      </c>
      <c r="AN45" s="1" t="e">
        <f t="shared" si="24"/>
        <v>#N/A</v>
      </c>
      <c r="AO45" s="1" t="e">
        <f t="shared" si="25"/>
        <v>#N/A</v>
      </c>
      <c r="AP45" s="1" t="e">
        <f t="shared" si="26"/>
        <v>#N/A</v>
      </c>
      <c r="AQ45" s="1" t="e">
        <f t="shared" si="27"/>
        <v>#N/A</v>
      </c>
      <c r="AS45" s="1" t="e">
        <f>IF(Table1[[#This Row],[Type (TX, RX, TRX, Oscillator)]]="Relay",Table1[[#This Row],[Frequency (GHz)]],#N/A)</f>
        <v>#N/A</v>
      </c>
      <c r="AT45" s="30" t="e">
        <f>IF(Table1[[#This Row],[Type (TX, RX, TRX, Oscillator)]]="Relay",DATE(Table1[[#This Row],[Year ]],Table1[[#This Row],[Month]],1),#N/A)</f>
        <v>#N/A</v>
      </c>
      <c r="AU45" s="1" t="e">
        <f>IF(Table1[[#This Row],[Type (TX, RX, TRX, Oscillator)]]="Relay",Table1[[#This Row],[Total Number of Elements (TX + RX)]],#N/A)</f>
        <v>#N/A</v>
      </c>
      <c r="AV45" s="1" t="e">
        <f t="shared" si="28"/>
        <v>#N/A</v>
      </c>
      <c r="AW45" s="1" t="e">
        <f t="shared" si="29"/>
        <v>#N/A</v>
      </c>
      <c r="AX45" s="1" t="e">
        <f t="shared" si="30"/>
        <v>#N/A</v>
      </c>
      <c r="AY45" s="1" t="e">
        <f t="shared" si="31"/>
        <v>#N/A</v>
      </c>
      <c r="AZ45" s="1" t="e">
        <f t="shared" si="32"/>
        <v>#N/A</v>
      </c>
      <c r="BA45" s="1" t="e">
        <f t="shared" si="33"/>
        <v>#N/A</v>
      </c>
      <c r="BB45" s="1" t="e">
        <f t="shared" si="34"/>
        <v>#N/A</v>
      </c>
    </row>
    <row r="46" spans="1:54" x14ac:dyDescent="0.2">
      <c r="A46" s="1" t="e">
        <f>IF(OR(Table1[[#This Row],[Type (TX, RX, TRX, Oscillator)]]="TX", Table1[[#This Row],[Type (TX, RX, TRX, Oscillator)]]="TX FE"),Table1[[#This Row],[Frequency (GHz)]],#N/A)</f>
        <v>#N/A</v>
      </c>
      <c r="B46" s="30" t="e">
        <f>IF(OR(Table1[[#This Row],[Type (TX, RX, TRX, Oscillator)]]="TX", Table1[[#This Row],[Type (TX, RX, TRX, Oscillator)]]="TX FE"),DATE(Table1[[#This Row],[Year ]],Table1[[#This Row],[Month]],1),#N/A)</f>
        <v>#N/A</v>
      </c>
      <c r="C46" s="1" t="e">
        <f>IF(OR(Table1[[#This Row],[Type (TX, RX, TRX, Oscillator)]]="TX",Table1[[#This Row],[Type (TX, RX, TRX, Oscillator)]]="TX FE"),Table1[[#This Row],[Total Number of Elements (TX + RX)]],#N/A)</f>
        <v>#N/A</v>
      </c>
      <c r="D46" s="1" t="e">
        <f t="shared" si="0"/>
        <v>#N/A</v>
      </c>
      <c r="E46" s="1" t="e">
        <f t="shared" si="1"/>
        <v>#N/A</v>
      </c>
      <c r="F46" s="1" t="e">
        <f t="shared" si="2"/>
        <v>#N/A</v>
      </c>
      <c r="G46" s="1" t="e">
        <f t="shared" si="3"/>
        <v>#N/A</v>
      </c>
      <c r="H46" s="1" t="e">
        <f t="shared" si="4"/>
        <v>#N/A</v>
      </c>
      <c r="I46" s="1" t="e">
        <f t="shared" si="5"/>
        <v>#N/A</v>
      </c>
      <c r="J46" s="1" t="e">
        <f t="shared" si="6"/>
        <v>#N/A</v>
      </c>
      <c r="L46" s="1" t="e">
        <f>IF(OR(Table1[[#This Row],[Type (TX, RX, TRX, Oscillator)]]="RX", Table1[[#This Row],[Type (TX, RX, TRX, Oscillator)]]="RX FE"),Table1[[#This Row],[Frequency (GHz)]],#N/A)</f>
        <v>#N/A</v>
      </c>
      <c r="M46" s="30" t="e">
        <f>IF(OR(Table1[[#This Row],[Type (TX, RX, TRX, Oscillator)]]="RX", Table1[[#This Row],[Type (TX, RX, TRX, Oscillator)]]="RX FE"),DATE(Table1[[#This Row],[Year ]],Table1[[#This Row],[Month]],1),#N/A)</f>
        <v>#N/A</v>
      </c>
      <c r="N46" s="1" t="e">
        <f>IF(OR(Table1[[#This Row],[Type (TX, RX, TRX, Oscillator)]]="RX", Table1[[#This Row],[Type (TX, RX, TRX, Oscillator)]]="RX FE"),Table1[[#This Row],[Total Number of Elements (TX + RX)]],#N/A)</f>
        <v>#N/A</v>
      </c>
      <c r="O46" s="1" t="e">
        <f t="shared" si="7"/>
        <v>#N/A</v>
      </c>
      <c r="P46" s="1" t="e">
        <f t="shared" si="8"/>
        <v>#N/A</v>
      </c>
      <c r="Q46" s="1" t="e">
        <f t="shared" si="9"/>
        <v>#N/A</v>
      </c>
      <c r="R46" s="1" t="e">
        <f t="shared" si="10"/>
        <v>#N/A</v>
      </c>
      <c r="S46" s="1" t="e">
        <f t="shared" si="11"/>
        <v>#N/A</v>
      </c>
      <c r="T46" s="1" t="e">
        <f t="shared" si="12"/>
        <v>#N/A</v>
      </c>
      <c r="U46" s="1" t="e">
        <f t="shared" si="13"/>
        <v>#N/A</v>
      </c>
      <c r="W46" s="1">
        <f>IF(OR(Table1[[#This Row],[Type (TX, RX, TRX, Oscillator)]]="TRX",Table1[[#This Row],[Type (TX, RX, TRX, Oscillator)]]="TRX FE"),Table1[[#This Row],[Frequency (GHz)]],#N/A)</f>
        <v>39</v>
      </c>
      <c r="X46" s="30">
        <f>IF(OR(Table1[[#This Row],[Type (TX, RX, TRX, Oscillator)]]="TRX", Table1[[#This Row],[Type (TX, RX, TRX, Oscillator)]]="TRX FE"),DATE(Table1[[#This Row],[Year ]],Table1[[#This Row],[Month]],1),#N/A)</f>
        <v>43617</v>
      </c>
      <c r="Y46" s="1">
        <f>IF(OR(Table1[[#This Row],[Type (TX, RX, TRX, Oscillator)]]="TRX", Table1[[#This Row],[Type (TX, RX, TRX, Oscillator)]]="TRX FE"),Table1[[#This Row],[Total Number of Elements (TX + RX)]],#N/A)</f>
        <v>128</v>
      </c>
      <c r="Z46" s="1" t="e">
        <f t="shared" si="14"/>
        <v>#N/A</v>
      </c>
      <c r="AA46" s="1">
        <f t="shared" si="15"/>
        <v>128</v>
      </c>
      <c r="AB46" s="1" t="e">
        <f t="shared" si="16"/>
        <v>#N/A</v>
      </c>
      <c r="AC46" s="1" t="e">
        <f t="shared" si="17"/>
        <v>#N/A</v>
      </c>
      <c r="AD46" s="1" t="e">
        <f t="shared" si="18"/>
        <v>#N/A</v>
      </c>
      <c r="AE46" s="1" t="e">
        <f t="shared" si="19"/>
        <v>#N/A</v>
      </c>
      <c r="AF46" s="1" t="e">
        <f t="shared" si="20"/>
        <v>#N/A</v>
      </c>
      <c r="AH46" s="1" t="e">
        <f>IF(Table1[[#This Row],[Type (TX, RX, TRX, Oscillator)]]="Oscillator",Table1[[#This Row],[Frequency (GHz)]],#N/A)</f>
        <v>#N/A</v>
      </c>
      <c r="AI46" s="30" t="e">
        <f>IF(Table1[[#This Row],[Type (TX, RX, TRX, Oscillator)]]="Oscillator",DATE(Table1[[#This Row],[Year ]],Table1[[#This Row],[Month]],1),#N/A)</f>
        <v>#N/A</v>
      </c>
      <c r="AJ46" s="1" t="e">
        <f>IF(Table1[[#This Row],[Type (TX, RX, TRX, Oscillator)]]="Oscillator",Table1[[#This Row],[Total Number of Elements (TX + RX)]],#N/A)</f>
        <v>#N/A</v>
      </c>
      <c r="AK46" s="1" t="e">
        <f t="shared" si="21"/>
        <v>#N/A</v>
      </c>
      <c r="AL46" s="1" t="e">
        <f t="shared" si="22"/>
        <v>#N/A</v>
      </c>
      <c r="AM46" s="1" t="e">
        <f t="shared" si="23"/>
        <v>#N/A</v>
      </c>
      <c r="AN46" s="1" t="e">
        <f t="shared" si="24"/>
        <v>#N/A</v>
      </c>
      <c r="AO46" s="1" t="e">
        <f t="shared" si="25"/>
        <v>#N/A</v>
      </c>
      <c r="AP46" s="1" t="e">
        <f t="shared" si="26"/>
        <v>#N/A</v>
      </c>
      <c r="AQ46" s="1" t="e">
        <f t="shared" si="27"/>
        <v>#N/A</v>
      </c>
      <c r="AS46" s="1" t="e">
        <f>IF(Table1[[#This Row],[Type (TX, RX, TRX, Oscillator)]]="Relay",Table1[[#This Row],[Frequency (GHz)]],#N/A)</f>
        <v>#N/A</v>
      </c>
      <c r="AT46" s="30" t="e">
        <f>IF(Table1[[#This Row],[Type (TX, RX, TRX, Oscillator)]]="Relay",DATE(Table1[[#This Row],[Year ]],Table1[[#This Row],[Month]],1),#N/A)</f>
        <v>#N/A</v>
      </c>
      <c r="AU46" s="1" t="e">
        <f>IF(Table1[[#This Row],[Type (TX, RX, TRX, Oscillator)]]="Relay",Table1[[#This Row],[Total Number of Elements (TX + RX)]],#N/A)</f>
        <v>#N/A</v>
      </c>
      <c r="AV46" s="1" t="e">
        <f t="shared" si="28"/>
        <v>#N/A</v>
      </c>
      <c r="AW46" s="1" t="e">
        <f t="shared" si="29"/>
        <v>#N/A</v>
      </c>
      <c r="AX46" s="1" t="e">
        <f t="shared" si="30"/>
        <v>#N/A</v>
      </c>
      <c r="AY46" s="1" t="e">
        <f t="shared" si="31"/>
        <v>#N/A</v>
      </c>
      <c r="AZ46" s="1" t="e">
        <f t="shared" si="32"/>
        <v>#N/A</v>
      </c>
      <c r="BA46" s="1" t="e">
        <f t="shared" si="33"/>
        <v>#N/A</v>
      </c>
      <c r="BB46" s="1" t="e">
        <f t="shared" si="34"/>
        <v>#N/A</v>
      </c>
    </row>
    <row r="47" spans="1:54" x14ac:dyDescent="0.2">
      <c r="A47" s="1" t="e">
        <f>IF(OR(Table1[[#This Row],[Type (TX, RX, TRX, Oscillator)]]="TX", Table1[[#This Row],[Type (TX, RX, TRX, Oscillator)]]="TX FE"),Table1[[#This Row],[Frequency (GHz)]],#N/A)</f>
        <v>#N/A</v>
      </c>
      <c r="B47" s="30" t="e">
        <f>IF(OR(Table1[[#This Row],[Type (TX, RX, TRX, Oscillator)]]="TX", Table1[[#This Row],[Type (TX, RX, TRX, Oscillator)]]="TX FE"),DATE(Table1[[#This Row],[Year ]],Table1[[#This Row],[Month]],1),#N/A)</f>
        <v>#N/A</v>
      </c>
      <c r="C47" s="1" t="e">
        <f>IF(OR(Table1[[#This Row],[Type (TX, RX, TRX, Oscillator)]]="TX",Table1[[#This Row],[Type (TX, RX, TRX, Oscillator)]]="TX FE"),Table1[[#This Row],[Total Number of Elements (TX + RX)]],#N/A)</f>
        <v>#N/A</v>
      </c>
      <c r="D47" s="1" t="e">
        <f t="shared" si="0"/>
        <v>#N/A</v>
      </c>
      <c r="E47" s="1" t="e">
        <f t="shared" si="1"/>
        <v>#N/A</v>
      </c>
      <c r="F47" s="1" t="e">
        <f t="shared" si="2"/>
        <v>#N/A</v>
      </c>
      <c r="G47" s="1" t="e">
        <f t="shared" si="3"/>
        <v>#N/A</v>
      </c>
      <c r="H47" s="1" t="e">
        <f t="shared" si="4"/>
        <v>#N/A</v>
      </c>
      <c r="I47" s="1" t="e">
        <f t="shared" si="5"/>
        <v>#N/A</v>
      </c>
      <c r="J47" s="1" t="e">
        <f t="shared" si="6"/>
        <v>#N/A</v>
      </c>
      <c r="L47" s="1" t="e">
        <f>IF(OR(Table1[[#This Row],[Type (TX, RX, TRX, Oscillator)]]="RX", Table1[[#This Row],[Type (TX, RX, TRX, Oscillator)]]="RX FE"),Table1[[#This Row],[Frequency (GHz)]],#N/A)</f>
        <v>#N/A</v>
      </c>
      <c r="M47" s="30" t="e">
        <f>IF(OR(Table1[[#This Row],[Type (TX, RX, TRX, Oscillator)]]="RX", Table1[[#This Row],[Type (TX, RX, TRX, Oscillator)]]="RX FE"),DATE(Table1[[#This Row],[Year ]],Table1[[#This Row],[Month]],1),#N/A)</f>
        <v>#N/A</v>
      </c>
      <c r="N47" s="1" t="e">
        <f>IF(OR(Table1[[#This Row],[Type (TX, RX, TRX, Oscillator)]]="RX", Table1[[#This Row],[Type (TX, RX, TRX, Oscillator)]]="RX FE"),Table1[[#This Row],[Total Number of Elements (TX + RX)]],#N/A)</f>
        <v>#N/A</v>
      </c>
      <c r="O47" s="1" t="e">
        <f t="shared" si="7"/>
        <v>#N/A</v>
      </c>
      <c r="P47" s="1" t="e">
        <f t="shared" si="8"/>
        <v>#N/A</v>
      </c>
      <c r="Q47" s="1" t="e">
        <f t="shared" si="9"/>
        <v>#N/A</v>
      </c>
      <c r="R47" s="1" t="e">
        <f t="shared" si="10"/>
        <v>#N/A</v>
      </c>
      <c r="S47" s="1" t="e">
        <f t="shared" si="11"/>
        <v>#N/A</v>
      </c>
      <c r="T47" s="1" t="e">
        <f t="shared" si="12"/>
        <v>#N/A</v>
      </c>
      <c r="U47" s="1" t="e">
        <f t="shared" si="13"/>
        <v>#N/A</v>
      </c>
      <c r="W47" s="1">
        <f>IF(OR(Table1[[#This Row],[Type (TX, RX, TRX, Oscillator)]]="TRX",Table1[[#This Row],[Type (TX, RX, TRX, Oscillator)]]="TRX FE"),Table1[[#This Row],[Frequency (GHz)]],#N/A)</f>
        <v>90</v>
      </c>
      <c r="X47" s="30">
        <f>IF(OR(Table1[[#This Row],[Type (TX, RX, TRX, Oscillator)]]="TRX", Table1[[#This Row],[Type (TX, RX, TRX, Oscillator)]]="TRX FE"),DATE(Table1[[#This Row],[Year ]],Table1[[#This Row],[Month]],1),#N/A)</f>
        <v>43709</v>
      </c>
      <c r="Y47" s="1">
        <f>IF(OR(Table1[[#This Row],[Type (TX, RX, TRX, Oscillator)]]="TRX", Table1[[#This Row],[Type (TX, RX, TRX, Oscillator)]]="TRX FE"),Table1[[#This Row],[Total Number of Elements (TX + RX)]],#N/A)</f>
        <v>384</v>
      </c>
      <c r="Z47" s="1" t="e">
        <f t="shared" si="14"/>
        <v>#N/A</v>
      </c>
      <c r="AA47" s="1" t="e">
        <f t="shared" si="15"/>
        <v>#N/A</v>
      </c>
      <c r="AB47" s="1" t="e">
        <f t="shared" si="16"/>
        <v>#N/A</v>
      </c>
      <c r="AC47" s="1">
        <f t="shared" si="17"/>
        <v>384</v>
      </c>
      <c r="AD47" s="1" t="e">
        <f t="shared" si="18"/>
        <v>#N/A</v>
      </c>
      <c r="AE47" s="1" t="e">
        <f t="shared" si="19"/>
        <v>#N/A</v>
      </c>
      <c r="AF47" s="1" t="e">
        <f t="shared" si="20"/>
        <v>#N/A</v>
      </c>
      <c r="AH47" s="1" t="e">
        <f>IF(Table1[[#This Row],[Type (TX, RX, TRX, Oscillator)]]="Oscillator",Table1[[#This Row],[Frequency (GHz)]],#N/A)</f>
        <v>#N/A</v>
      </c>
      <c r="AI47" s="30" t="e">
        <f>IF(Table1[[#This Row],[Type (TX, RX, TRX, Oscillator)]]="Oscillator",DATE(Table1[[#This Row],[Year ]],Table1[[#This Row],[Month]],1),#N/A)</f>
        <v>#N/A</v>
      </c>
      <c r="AJ47" s="1" t="e">
        <f>IF(Table1[[#This Row],[Type (TX, RX, TRX, Oscillator)]]="Oscillator",Table1[[#This Row],[Total Number of Elements (TX + RX)]],#N/A)</f>
        <v>#N/A</v>
      </c>
      <c r="AK47" s="1" t="e">
        <f t="shared" si="21"/>
        <v>#N/A</v>
      </c>
      <c r="AL47" s="1" t="e">
        <f t="shared" si="22"/>
        <v>#N/A</v>
      </c>
      <c r="AM47" s="1" t="e">
        <f t="shared" si="23"/>
        <v>#N/A</v>
      </c>
      <c r="AN47" s="1" t="e">
        <f t="shared" si="24"/>
        <v>#N/A</v>
      </c>
      <c r="AO47" s="1" t="e">
        <f t="shared" si="25"/>
        <v>#N/A</v>
      </c>
      <c r="AP47" s="1" t="e">
        <f t="shared" si="26"/>
        <v>#N/A</v>
      </c>
      <c r="AQ47" s="1" t="e">
        <f t="shared" si="27"/>
        <v>#N/A</v>
      </c>
      <c r="AS47" s="1" t="e">
        <f>IF(Table1[[#This Row],[Type (TX, RX, TRX, Oscillator)]]="Relay",Table1[[#This Row],[Frequency (GHz)]],#N/A)</f>
        <v>#N/A</v>
      </c>
      <c r="AT47" s="30" t="e">
        <f>IF(Table1[[#This Row],[Type (TX, RX, TRX, Oscillator)]]="Relay",DATE(Table1[[#This Row],[Year ]],Table1[[#This Row],[Month]],1),#N/A)</f>
        <v>#N/A</v>
      </c>
      <c r="AU47" s="1" t="e">
        <f>IF(Table1[[#This Row],[Type (TX, RX, TRX, Oscillator)]]="Relay",Table1[[#This Row],[Total Number of Elements (TX + RX)]],#N/A)</f>
        <v>#N/A</v>
      </c>
      <c r="AV47" s="1" t="e">
        <f t="shared" si="28"/>
        <v>#N/A</v>
      </c>
      <c r="AW47" s="1" t="e">
        <f t="shared" si="29"/>
        <v>#N/A</v>
      </c>
      <c r="AX47" s="1" t="e">
        <f t="shared" si="30"/>
        <v>#N/A</v>
      </c>
      <c r="AY47" s="1" t="e">
        <f t="shared" si="31"/>
        <v>#N/A</v>
      </c>
      <c r="AZ47" s="1" t="e">
        <f t="shared" si="32"/>
        <v>#N/A</v>
      </c>
      <c r="BA47" s="1" t="e">
        <f t="shared" si="33"/>
        <v>#N/A</v>
      </c>
      <c r="BB47" s="1" t="e">
        <f t="shared" si="34"/>
        <v>#N/A</v>
      </c>
    </row>
    <row r="48" spans="1:54" x14ac:dyDescent="0.2">
      <c r="A48" s="1" t="e">
        <f>IF(OR(Table1[[#This Row],[Type (TX, RX, TRX, Oscillator)]]="TX", Table1[[#This Row],[Type (TX, RX, TRX, Oscillator)]]="TX FE"),Table1[[#This Row],[Frequency (GHz)]],#N/A)</f>
        <v>#N/A</v>
      </c>
      <c r="B48" s="30" t="e">
        <f>IF(OR(Table1[[#This Row],[Type (TX, RX, TRX, Oscillator)]]="TX", Table1[[#This Row],[Type (TX, RX, TRX, Oscillator)]]="TX FE"),DATE(Table1[[#This Row],[Year ]],Table1[[#This Row],[Month]],1),#N/A)</f>
        <v>#N/A</v>
      </c>
      <c r="C48" s="1" t="e">
        <f>IF(OR(Table1[[#This Row],[Type (TX, RX, TRX, Oscillator)]]="TX",Table1[[#This Row],[Type (TX, RX, TRX, Oscillator)]]="TX FE"),Table1[[#This Row],[Total Number of Elements (TX + RX)]],#N/A)</f>
        <v>#N/A</v>
      </c>
      <c r="D48" s="1" t="e">
        <f t="shared" si="0"/>
        <v>#N/A</v>
      </c>
      <c r="E48" s="1" t="e">
        <f t="shared" si="1"/>
        <v>#N/A</v>
      </c>
      <c r="F48" s="1" t="e">
        <f t="shared" si="2"/>
        <v>#N/A</v>
      </c>
      <c r="G48" s="1" t="e">
        <f t="shared" si="3"/>
        <v>#N/A</v>
      </c>
      <c r="H48" s="1" t="e">
        <f t="shared" si="4"/>
        <v>#N/A</v>
      </c>
      <c r="I48" s="1" t="e">
        <f t="shared" si="5"/>
        <v>#N/A</v>
      </c>
      <c r="J48" s="1" t="e">
        <f t="shared" si="6"/>
        <v>#N/A</v>
      </c>
      <c r="L48" s="1" t="e">
        <f>IF(OR(Table1[[#This Row],[Type (TX, RX, TRX, Oscillator)]]="RX", Table1[[#This Row],[Type (TX, RX, TRX, Oscillator)]]="RX FE"),Table1[[#This Row],[Frequency (GHz)]],#N/A)</f>
        <v>#N/A</v>
      </c>
      <c r="M48" s="30" t="e">
        <f>IF(OR(Table1[[#This Row],[Type (TX, RX, TRX, Oscillator)]]="RX", Table1[[#This Row],[Type (TX, RX, TRX, Oscillator)]]="RX FE"),DATE(Table1[[#This Row],[Year ]],Table1[[#This Row],[Month]],1),#N/A)</f>
        <v>#N/A</v>
      </c>
      <c r="N48" s="1" t="e">
        <f>IF(OR(Table1[[#This Row],[Type (TX, RX, TRX, Oscillator)]]="RX", Table1[[#This Row],[Type (TX, RX, TRX, Oscillator)]]="RX FE"),Table1[[#This Row],[Total Number of Elements (TX + RX)]],#N/A)</f>
        <v>#N/A</v>
      </c>
      <c r="O48" s="1" t="e">
        <f t="shared" si="7"/>
        <v>#N/A</v>
      </c>
      <c r="P48" s="1" t="e">
        <f t="shared" si="8"/>
        <v>#N/A</v>
      </c>
      <c r="Q48" s="1" t="e">
        <f t="shared" si="9"/>
        <v>#N/A</v>
      </c>
      <c r="R48" s="1" t="e">
        <f t="shared" si="10"/>
        <v>#N/A</v>
      </c>
      <c r="S48" s="1" t="e">
        <f t="shared" si="11"/>
        <v>#N/A</v>
      </c>
      <c r="T48" s="1" t="e">
        <f t="shared" si="12"/>
        <v>#N/A</v>
      </c>
      <c r="U48" s="1" t="e">
        <f t="shared" si="13"/>
        <v>#N/A</v>
      </c>
      <c r="W48" s="1" t="e">
        <f>IF(OR(Table1[[#This Row],[Type (TX, RX, TRX, Oscillator)]]="TRX",Table1[[#This Row],[Type (TX, RX, TRX, Oscillator)]]="TRX FE"),Table1[[#This Row],[Frequency (GHz)]],#N/A)</f>
        <v>#N/A</v>
      </c>
      <c r="X48" s="30" t="e">
        <f>IF(OR(Table1[[#This Row],[Type (TX, RX, TRX, Oscillator)]]="TRX", Table1[[#This Row],[Type (TX, RX, TRX, Oscillator)]]="TRX FE"),DATE(Table1[[#This Row],[Year ]],Table1[[#This Row],[Month]],1),#N/A)</f>
        <v>#N/A</v>
      </c>
      <c r="Y48" s="1" t="e">
        <f>IF(OR(Table1[[#This Row],[Type (TX, RX, TRX, Oscillator)]]="TRX", Table1[[#This Row],[Type (TX, RX, TRX, Oscillator)]]="TRX FE"),Table1[[#This Row],[Total Number of Elements (TX + RX)]],#N/A)</f>
        <v>#N/A</v>
      </c>
      <c r="Z48" s="1" t="e">
        <f t="shared" si="14"/>
        <v>#N/A</v>
      </c>
      <c r="AA48" s="1" t="e">
        <f t="shared" si="15"/>
        <v>#N/A</v>
      </c>
      <c r="AB48" s="1" t="e">
        <f t="shared" si="16"/>
        <v>#N/A</v>
      </c>
      <c r="AC48" s="1" t="e">
        <f t="shared" si="17"/>
        <v>#N/A</v>
      </c>
      <c r="AD48" s="1" t="e">
        <f t="shared" si="18"/>
        <v>#N/A</v>
      </c>
      <c r="AE48" s="1" t="e">
        <f t="shared" si="19"/>
        <v>#N/A</v>
      </c>
      <c r="AF48" s="1" t="e">
        <f t="shared" si="20"/>
        <v>#N/A</v>
      </c>
      <c r="AH48" s="1">
        <f>IF(Table1[[#This Row],[Type (TX, RX, TRX, Oscillator)]]="Oscillator",Table1[[#This Row],[Frequency (GHz)]],#N/A)</f>
        <v>420</v>
      </c>
      <c r="AI48" s="30">
        <f>IF(Table1[[#This Row],[Type (TX, RX, TRX, Oscillator)]]="Oscillator",DATE(Table1[[#This Row],[Year ]],Table1[[#This Row],[Month]],1),#N/A)</f>
        <v>43862</v>
      </c>
      <c r="AJ48" s="1">
        <f>IF(Table1[[#This Row],[Type (TX, RX, TRX, Oscillator)]]="Oscillator",Table1[[#This Row],[Total Number of Elements (TX + RX)]],#N/A)</f>
        <v>64</v>
      </c>
      <c r="AK48" s="1" t="e">
        <f t="shared" si="21"/>
        <v>#N/A</v>
      </c>
      <c r="AL48" s="1" t="e">
        <f t="shared" si="22"/>
        <v>#N/A</v>
      </c>
      <c r="AM48" s="1" t="e">
        <f t="shared" si="23"/>
        <v>#N/A</v>
      </c>
      <c r="AN48" s="1" t="e">
        <f t="shared" si="24"/>
        <v>#N/A</v>
      </c>
      <c r="AO48" s="1" t="e">
        <f t="shared" si="25"/>
        <v>#N/A</v>
      </c>
      <c r="AP48" s="1" t="e">
        <f t="shared" si="26"/>
        <v>#N/A</v>
      </c>
      <c r="AQ48" s="1">
        <f t="shared" si="27"/>
        <v>64</v>
      </c>
      <c r="AS48" s="1" t="e">
        <f>IF(Table1[[#This Row],[Type (TX, RX, TRX, Oscillator)]]="Relay",Table1[[#This Row],[Frequency (GHz)]],#N/A)</f>
        <v>#N/A</v>
      </c>
      <c r="AT48" s="30" t="e">
        <f>IF(Table1[[#This Row],[Type (TX, RX, TRX, Oscillator)]]="Relay",DATE(Table1[[#This Row],[Year ]],Table1[[#This Row],[Month]],1),#N/A)</f>
        <v>#N/A</v>
      </c>
      <c r="AU48" s="1" t="e">
        <f>IF(Table1[[#This Row],[Type (TX, RX, TRX, Oscillator)]]="Relay",Table1[[#This Row],[Total Number of Elements (TX + RX)]],#N/A)</f>
        <v>#N/A</v>
      </c>
      <c r="AV48" s="1" t="e">
        <f t="shared" si="28"/>
        <v>#N/A</v>
      </c>
      <c r="AW48" s="1" t="e">
        <f t="shared" si="29"/>
        <v>#N/A</v>
      </c>
      <c r="AX48" s="1" t="e">
        <f t="shared" si="30"/>
        <v>#N/A</v>
      </c>
      <c r="AY48" s="1" t="e">
        <f t="shared" si="31"/>
        <v>#N/A</v>
      </c>
      <c r="AZ48" s="1" t="e">
        <f t="shared" si="32"/>
        <v>#N/A</v>
      </c>
      <c r="BA48" s="1" t="e">
        <f t="shared" si="33"/>
        <v>#N/A</v>
      </c>
      <c r="BB48" s="1" t="e">
        <f t="shared" si="34"/>
        <v>#N/A</v>
      </c>
    </row>
    <row r="49" spans="1:54" x14ac:dyDescent="0.2">
      <c r="A49" s="1" t="e">
        <f>IF(OR(Table1[[#This Row],[Type (TX, RX, TRX, Oscillator)]]="TX", Table1[[#This Row],[Type (TX, RX, TRX, Oscillator)]]="TX FE"),Table1[[#This Row],[Frequency (GHz)]],#N/A)</f>
        <v>#N/A</v>
      </c>
      <c r="B49" s="30" t="e">
        <f>IF(OR(Table1[[#This Row],[Type (TX, RX, TRX, Oscillator)]]="TX", Table1[[#This Row],[Type (TX, RX, TRX, Oscillator)]]="TX FE"),DATE(Table1[[#This Row],[Year ]],Table1[[#This Row],[Month]],1),#N/A)</f>
        <v>#N/A</v>
      </c>
      <c r="C49" s="1" t="e">
        <f>IF(OR(Table1[[#This Row],[Type (TX, RX, TRX, Oscillator)]]="TX",Table1[[#This Row],[Type (TX, RX, TRX, Oscillator)]]="TX FE"),Table1[[#This Row],[Total Number of Elements (TX + RX)]],#N/A)</f>
        <v>#N/A</v>
      </c>
      <c r="D49" s="1" t="e">
        <f t="shared" si="0"/>
        <v>#N/A</v>
      </c>
      <c r="E49" s="1" t="e">
        <f t="shared" si="1"/>
        <v>#N/A</v>
      </c>
      <c r="F49" s="1" t="e">
        <f t="shared" si="2"/>
        <v>#N/A</v>
      </c>
      <c r="G49" s="1" t="e">
        <f t="shared" si="3"/>
        <v>#N/A</v>
      </c>
      <c r="H49" s="1" t="e">
        <f t="shared" si="4"/>
        <v>#N/A</v>
      </c>
      <c r="I49" s="1" t="e">
        <f t="shared" si="5"/>
        <v>#N/A</v>
      </c>
      <c r="J49" s="1" t="e">
        <f t="shared" si="6"/>
        <v>#N/A</v>
      </c>
      <c r="L49" s="1" t="e">
        <f>IF(OR(Table1[[#This Row],[Type (TX, RX, TRX, Oscillator)]]="RX", Table1[[#This Row],[Type (TX, RX, TRX, Oscillator)]]="RX FE"),Table1[[#This Row],[Frequency (GHz)]],#N/A)</f>
        <v>#N/A</v>
      </c>
      <c r="M49" s="30" t="e">
        <f>IF(OR(Table1[[#This Row],[Type (TX, RX, TRX, Oscillator)]]="RX", Table1[[#This Row],[Type (TX, RX, TRX, Oscillator)]]="RX FE"),DATE(Table1[[#This Row],[Year ]],Table1[[#This Row],[Month]],1),#N/A)</f>
        <v>#N/A</v>
      </c>
      <c r="N49" s="1" t="e">
        <f>IF(OR(Table1[[#This Row],[Type (TX, RX, TRX, Oscillator)]]="RX", Table1[[#This Row],[Type (TX, RX, TRX, Oscillator)]]="RX FE"),Table1[[#This Row],[Total Number of Elements (TX + RX)]],#N/A)</f>
        <v>#N/A</v>
      </c>
      <c r="O49" s="1" t="e">
        <f t="shared" si="7"/>
        <v>#N/A</v>
      </c>
      <c r="P49" s="1" t="e">
        <f t="shared" si="8"/>
        <v>#N/A</v>
      </c>
      <c r="Q49" s="1" t="e">
        <f t="shared" si="9"/>
        <v>#N/A</v>
      </c>
      <c r="R49" s="1" t="e">
        <f t="shared" si="10"/>
        <v>#N/A</v>
      </c>
      <c r="S49" s="1" t="e">
        <f t="shared" si="11"/>
        <v>#N/A</v>
      </c>
      <c r="T49" s="1" t="e">
        <f t="shared" si="12"/>
        <v>#N/A</v>
      </c>
      <c r="U49" s="1" t="e">
        <f t="shared" si="13"/>
        <v>#N/A</v>
      </c>
      <c r="W49" s="1" t="e">
        <f>IF(OR(Table1[[#This Row],[Type (TX, RX, TRX, Oscillator)]]="TRX",Table1[[#This Row],[Type (TX, RX, TRX, Oscillator)]]="TRX FE"),Table1[[#This Row],[Frequency (GHz)]],#N/A)</f>
        <v>#N/A</v>
      </c>
      <c r="X49" s="30" t="e">
        <f>IF(OR(Table1[[#This Row],[Type (TX, RX, TRX, Oscillator)]]="TRX", Table1[[#This Row],[Type (TX, RX, TRX, Oscillator)]]="TRX FE"),DATE(Table1[[#This Row],[Year ]],Table1[[#This Row],[Month]],1),#N/A)</f>
        <v>#N/A</v>
      </c>
      <c r="Y49" s="1" t="e">
        <f>IF(OR(Table1[[#This Row],[Type (TX, RX, TRX, Oscillator)]]="TRX", Table1[[#This Row],[Type (TX, RX, TRX, Oscillator)]]="TRX FE"),Table1[[#This Row],[Total Number of Elements (TX + RX)]],#N/A)</f>
        <v>#N/A</v>
      </c>
      <c r="Z49" s="1" t="e">
        <f t="shared" si="14"/>
        <v>#N/A</v>
      </c>
      <c r="AA49" s="1" t="e">
        <f t="shared" si="15"/>
        <v>#N/A</v>
      </c>
      <c r="AB49" s="1" t="e">
        <f t="shared" si="16"/>
        <v>#N/A</v>
      </c>
      <c r="AC49" s="1" t="e">
        <f t="shared" si="17"/>
        <v>#N/A</v>
      </c>
      <c r="AD49" s="1" t="e">
        <f t="shared" si="18"/>
        <v>#N/A</v>
      </c>
      <c r="AE49" s="1" t="e">
        <f t="shared" si="19"/>
        <v>#N/A</v>
      </c>
      <c r="AF49" s="1" t="e">
        <f t="shared" si="20"/>
        <v>#N/A</v>
      </c>
      <c r="AH49" s="1">
        <f>IF(Table1[[#This Row],[Type (TX, RX, TRX, Oscillator)]]="Oscillator",Table1[[#This Row],[Frequency (GHz)]],#N/A)</f>
        <v>586.70000000000005</v>
      </c>
      <c r="AI49" s="30">
        <f>IF(Table1[[#This Row],[Type (TX, RX, TRX, Oscillator)]]="Oscillator",DATE(Table1[[#This Row],[Year ]],Table1[[#This Row],[Month]],1),#N/A)</f>
        <v>43862</v>
      </c>
      <c r="AJ49" s="1">
        <f>IF(Table1[[#This Row],[Type (TX, RX, TRX, Oscillator)]]="Oscillator",Table1[[#This Row],[Total Number of Elements (TX + RX)]],#N/A)</f>
        <v>36</v>
      </c>
      <c r="AK49" s="1" t="e">
        <f t="shared" si="21"/>
        <v>#N/A</v>
      </c>
      <c r="AL49" s="1" t="e">
        <f t="shared" si="22"/>
        <v>#N/A</v>
      </c>
      <c r="AM49" s="1" t="e">
        <f t="shared" si="23"/>
        <v>#N/A</v>
      </c>
      <c r="AN49" s="1" t="e">
        <f t="shared" si="24"/>
        <v>#N/A</v>
      </c>
      <c r="AO49" s="1" t="e">
        <f t="shared" si="25"/>
        <v>#N/A</v>
      </c>
      <c r="AP49" s="1" t="e">
        <f t="shared" si="26"/>
        <v>#N/A</v>
      </c>
      <c r="AQ49" s="1">
        <f t="shared" si="27"/>
        <v>36</v>
      </c>
      <c r="AS49" s="1" t="e">
        <f>IF(Table1[[#This Row],[Type (TX, RX, TRX, Oscillator)]]="Relay",Table1[[#This Row],[Frequency (GHz)]],#N/A)</f>
        <v>#N/A</v>
      </c>
      <c r="AT49" s="30" t="e">
        <f>IF(Table1[[#This Row],[Type (TX, RX, TRX, Oscillator)]]="Relay",DATE(Table1[[#This Row],[Year ]],Table1[[#This Row],[Month]],1),#N/A)</f>
        <v>#N/A</v>
      </c>
      <c r="AU49" s="1" t="e">
        <f>IF(Table1[[#This Row],[Type (TX, RX, TRX, Oscillator)]]="Relay",Table1[[#This Row],[Total Number of Elements (TX + RX)]],#N/A)</f>
        <v>#N/A</v>
      </c>
      <c r="AV49" s="1" t="e">
        <f t="shared" si="28"/>
        <v>#N/A</v>
      </c>
      <c r="AW49" s="1" t="e">
        <f t="shared" si="29"/>
        <v>#N/A</v>
      </c>
      <c r="AX49" s="1" t="e">
        <f t="shared" si="30"/>
        <v>#N/A</v>
      </c>
      <c r="AY49" s="1" t="e">
        <f t="shared" si="31"/>
        <v>#N/A</v>
      </c>
      <c r="AZ49" s="1" t="e">
        <f t="shared" si="32"/>
        <v>#N/A</v>
      </c>
      <c r="BA49" s="1" t="e">
        <f t="shared" si="33"/>
        <v>#N/A</v>
      </c>
      <c r="BB49" s="1" t="e">
        <f t="shared" si="34"/>
        <v>#N/A</v>
      </c>
    </row>
    <row r="50" spans="1:54" x14ac:dyDescent="0.2">
      <c r="A50" s="1" t="e">
        <f>IF(OR(Table1[[#This Row],[Type (TX, RX, TRX, Oscillator)]]="TX", Table1[[#This Row],[Type (TX, RX, TRX, Oscillator)]]="TX FE"),Table1[[#This Row],[Frequency (GHz)]],#N/A)</f>
        <v>#N/A</v>
      </c>
      <c r="B50" s="30" t="e">
        <f>IF(OR(Table1[[#This Row],[Type (TX, RX, TRX, Oscillator)]]="TX", Table1[[#This Row],[Type (TX, RX, TRX, Oscillator)]]="TX FE"),DATE(Table1[[#This Row],[Year ]],Table1[[#This Row],[Month]],1),#N/A)</f>
        <v>#N/A</v>
      </c>
      <c r="C50" s="1" t="e">
        <f>IF(OR(Table1[[#This Row],[Type (TX, RX, TRX, Oscillator)]]="TX",Table1[[#This Row],[Type (TX, RX, TRX, Oscillator)]]="TX FE"),Table1[[#This Row],[Total Number of Elements (TX + RX)]],#N/A)</f>
        <v>#N/A</v>
      </c>
      <c r="D50" s="1" t="e">
        <f t="shared" si="0"/>
        <v>#N/A</v>
      </c>
      <c r="E50" s="1" t="e">
        <f t="shared" si="1"/>
        <v>#N/A</v>
      </c>
      <c r="F50" s="1" t="e">
        <f t="shared" si="2"/>
        <v>#N/A</v>
      </c>
      <c r="G50" s="1" t="e">
        <f t="shared" si="3"/>
        <v>#N/A</v>
      </c>
      <c r="H50" s="1" t="e">
        <f t="shared" si="4"/>
        <v>#N/A</v>
      </c>
      <c r="I50" s="1" t="e">
        <f t="shared" si="5"/>
        <v>#N/A</v>
      </c>
      <c r="J50" s="1" t="e">
        <f t="shared" si="6"/>
        <v>#N/A</v>
      </c>
      <c r="L50" s="1" t="e">
        <f>IF(OR(Table1[[#This Row],[Type (TX, RX, TRX, Oscillator)]]="RX", Table1[[#This Row],[Type (TX, RX, TRX, Oscillator)]]="RX FE"),Table1[[#This Row],[Frequency (GHz)]],#N/A)</f>
        <v>#N/A</v>
      </c>
      <c r="M50" s="30" t="e">
        <f>IF(OR(Table1[[#This Row],[Type (TX, RX, TRX, Oscillator)]]="RX", Table1[[#This Row],[Type (TX, RX, TRX, Oscillator)]]="RX FE"),DATE(Table1[[#This Row],[Year ]],Table1[[#This Row],[Month]],1),#N/A)</f>
        <v>#N/A</v>
      </c>
      <c r="N50" s="1" t="e">
        <f>IF(OR(Table1[[#This Row],[Type (TX, RX, TRX, Oscillator)]]="RX", Table1[[#This Row],[Type (TX, RX, TRX, Oscillator)]]="RX FE"),Table1[[#This Row],[Total Number of Elements (TX + RX)]],#N/A)</f>
        <v>#N/A</v>
      </c>
      <c r="O50" s="1" t="e">
        <f t="shared" si="7"/>
        <v>#N/A</v>
      </c>
      <c r="P50" s="1" t="e">
        <f t="shared" si="8"/>
        <v>#N/A</v>
      </c>
      <c r="Q50" s="1" t="e">
        <f t="shared" si="9"/>
        <v>#N/A</v>
      </c>
      <c r="R50" s="1" t="e">
        <f t="shared" si="10"/>
        <v>#N/A</v>
      </c>
      <c r="S50" s="1" t="e">
        <f t="shared" si="11"/>
        <v>#N/A</v>
      </c>
      <c r="T50" s="1" t="e">
        <f t="shared" si="12"/>
        <v>#N/A</v>
      </c>
      <c r="U50" s="1" t="e">
        <f t="shared" si="13"/>
        <v>#N/A</v>
      </c>
      <c r="W50" s="1" t="e">
        <f>IF(OR(Table1[[#This Row],[Type (TX, RX, TRX, Oscillator)]]="TRX",Table1[[#This Row],[Type (TX, RX, TRX, Oscillator)]]="TRX FE"),Table1[[#This Row],[Frequency (GHz)]],#N/A)</f>
        <v>#N/A</v>
      </c>
      <c r="X50" s="30" t="e">
        <f>IF(OR(Table1[[#This Row],[Type (TX, RX, TRX, Oscillator)]]="TRX", Table1[[#This Row],[Type (TX, RX, TRX, Oscillator)]]="TRX FE"),DATE(Table1[[#This Row],[Year ]],Table1[[#This Row],[Month]],1),#N/A)</f>
        <v>#N/A</v>
      </c>
      <c r="Y50" s="1" t="e">
        <f>IF(OR(Table1[[#This Row],[Type (TX, RX, TRX, Oscillator)]]="TRX", Table1[[#This Row],[Type (TX, RX, TRX, Oscillator)]]="TRX FE"),Table1[[#This Row],[Total Number of Elements (TX + RX)]],#N/A)</f>
        <v>#N/A</v>
      </c>
      <c r="Z50" s="1" t="e">
        <f t="shared" si="14"/>
        <v>#N/A</v>
      </c>
      <c r="AA50" s="1" t="e">
        <f t="shared" si="15"/>
        <v>#N/A</v>
      </c>
      <c r="AB50" s="1" t="e">
        <f t="shared" si="16"/>
        <v>#N/A</v>
      </c>
      <c r="AC50" s="1" t="e">
        <f t="shared" si="17"/>
        <v>#N/A</v>
      </c>
      <c r="AD50" s="1" t="e">
        <f t="shared" si="18"/>
        <v>#N/A</v>
      </c>
      <c r="AE50" s="1" t="e">
        <f t="shared" si="19"/>
        <v>#N/A</v>
      </c>
      <c r="AF50" s="1" t="e">
        <f t="shared" si="20"/>
        <v>#N/A</v>
      </c>
      <c r="AH50" s="1">
        <f>IF(Table1[[#This Row],[Type (TX, RX, TRX, Oscillator)]]="Oscillator",Table1[[#This Row],[Frequency (GHz)]],#N/A)</f>
        <v>416</v>
      </c>
      <c r="AI50" s="30">
        <f>IF(Table1[[#This Row],[Type (TX, RX, TRX, Oscillator)]]="Oscillator",DATE(Table1[[#This Row],[Year ]],Table1[[#This Row],[Month]],1),#N/A)</f>
        <v>43862</v>
      </c>
      <c r="AJ50" s="1">
        <f>IF(Table1[[#This Row],[Type (TX, RX, TRX, Oscillator)]]="Oscillator",Table1[[#This Row],[Total Number of Elements (TX + RX)]],#N/A)</f>
        <v>16</v>
      </c>
      <c r="AK50" s="1" t="e">
        <f t="shared" si="21"/>
        <v>#N/A</v>
      </c>
      <c r="AL50" s="1" t="e">
        <f t="shared" si="22"/>
        <v>#N/A</v>
      </c>
      <c r="AM50" s="1" t="e">
        <f t="shared" si="23"/>
        <v>#N/A</v>
      </c>
      <c r="AN50" s="1" t="e">
        <f t="shared" si="24"/>
        <v>#N/A</v>
      </c>
      <c r="AO50" s="1" t="e">
        <f t="shared" si="25"/>
        <v>#N/A</v>
      </c>
      <c r="AP50" s="1" t="e">
        <f t="shared" si="26"/>
        <v>#N/A</v>
      </c>
      <c r="AQ50" s="1">
        <f t="shared" si="27"/>
        <v>16</v>
      </c>
      <c r="AS50" s="1" t="e">
        <f>IF(Table1[[#This Row],[Type (TX, RX, TRX, Oscillator)]]="Relay",Table1[[#This Row],[Frequency (GHz)]],#N/A)</f>
        <v>#N/A</v>
      </c>
      <c r="AT50" s="30" t="e">
        <f>IF(Table1[[#This Row],[Type (TX, RX, TRX, Oscillator)]]="Relay",DATE(Table1[[#This Row],[Year ]],Table1[[#This Row],[Month]],1),#N/A)</f>
        <v>#N/A</v>
      </c>
      <c r="AU50" s="1" t="e">
        <f>IF(Table1[[#This Row],[Type (TX, RX, TRX, Oscillator)]]="Relay",Table1[[#This Row],[Total Number of Elements (TX + RX)]],#N/A)</f>
        <v>#N/A</v>
      </c>
      <c r="AV50" s="1" t="e">
        <f t="shared" si="28"/>
        <v>#N/A</v>
      </c>
      <c r="AW50" s="1" t="e">
        <f t="shared" si="29"/>
        <v>#N/A</v>
      </c>
      <c r="AX50" s="1" t="e">
        <f t="shared" si="30"/>
        <v>#N/A</v>
      </c>
      <c r="AY50" s="1" t="e">
        <f t="shared" si="31"/>
        <v>#N/A</v>
      </c>
      <c r="AZ50" s="1" t="e">
        <f t="shared" si="32"/>
        <v>#N/A</v>
      </c>
      <c r="BA50" s="1" t="e">
        <f t="shared" si="33"/>
        <v>#N/A</v>
      </c>
      <c r="BB50" s="1" t="e">
        <f t="shared" si="34"/>
        <v>#N/A</v>
      </c>
    </row>
    <row r="51" spans="1:54" x14ac:dyDescent="0.2">
      <c r="A51" s="1" t="e">
        <f>IF(OR(Table1[[#This Row],[Type (TX, RX, TRX, Oscillator)]]="TX", Table1[[#This Row],[Type (TX, RX, TRX, Oscillator)]]="TX FE"),Table1[[#This Row],[Frequency (GHz)]],#N/A)</f>
        <v>#N/A</v>
      </c>
      <c r="B51" s="30" t="e">
        <f>IF(OR(Table1[[#This Row],[Type (TX, RX, TRX, Oscillator)]]="TX", Table1[[#This Row],[Type (TX, RX, TRX, Oscillator)]]="TX FE"),DATE(Table1[[#This Row],[Year ]],Table1[[#This Row],[Month]],1),#N/A)</f>
        <v>#N/A</v>
      </c>
      <c r="C51" s="1" t="e">
        <f>IF(OR(Table1[[#This Row],[Type (TX, RX, TRX, Oscillator)]]="TX",Table1[[#This Row],[Type (TX, RX, TRX, Oscillator)]]="TX FE"),Table1[[#This Row],[Total Number of Elements (TX + RX)]],#N/A)</f>
        <v>#N/A</v>
      </c>
      <c r="D51" s="1" t="e">
        <f t="shared" si="0"/>
        <v>#N/A</v>
      </c>
      <c r="E51" s="1" t="e">
        <f t="shared" si="1"/>
        <v>#N/A</v>
      </c>
      <c r="F51" s="1" t="e">
        <f t="shared" si="2"/>
        <v>#N/A</v>
      </c>
      <c r="G51" s="1" t="e">
        <f t="shared" si="3"/>
        <v>#N/A</v>
      </c>
      <c r="H51" s="1" t="e">
        <f t="shared" si="4"/>
        <v>#N/A</v>
      </c>
      <c r="I51" s="1" t="e">
        <f t="shared" si="5"/>
        <v>#N/A</v>
      </c>
      <c r="J51" s="1" t="e">
        <f t="shared" si="6"/>
        <v>#N/A</v>
      </c>
      <c r="L51" s="1" t="e">
        <f>IF(OR(Table1[[#This Row],[Type (TX, RX, TRX, Oscillator)]]="RX", Table1[[#This Row],[Type (TX, RX, TRX, Oscillator)]]="RX FE"),Table1[[#This Row],[Frequency (GHz)]],#N/A)</f>
        <v>#N/A</v>
      </c>
      <c r="M51" s="30" t="e">
        <f>IF(OR(Table1[[#This Row],[Type (TX, RX, TRX, Oscillator)]]="RX", Table1[[#This Row],[Type (TX, RX, TRX, Oscillator)]]="RX FE"),DATE(Table1[[#This Row],[Year ]],Table1[[#This Row],[Month]],1),#N/A)</f>
        <v>#N/A</v>
      </c>
      <c r="N51" s="1" t="e">
        <f>IF(OR(Table1[[#This Row],[Type (TX, RX, TRX, Oscillator)]]="RX", Table1[[#This Row],[Type (TX, RX, TRX, Oscillator)]]="RX FE"),Table1[[#This Row],[Total Number of Elements (TX + RX)]],#N/A)</f>
        <v>#N/A</v>
      </c>
      <c r="O51" s="1" t="e">
        <f t="shared" si="7"/>
        <v>#N/A</v>
      </c>
      <c r="P51" s="1" t="e">
        <f t="shared" si="8"/>
        <v>#N/A</v>
      </c>
      <c r="Q51" s="1" t="e">
        <f t="shared" si="9"/>
        <v>#N/A</v>
      </c>
      <c r="R51" s="1" t="e">
        <f t="shared" si="10"/>
        <v>#N/A</v>
      </c>
      <c r="S51" s="1" t="e">
        <f t="shared" si="11"/>
        <v>#N/A</v>
      </c>
      <c r="T51" s="1" t="e">
        <f t="shared" si="12"/>
        <v>#N/A</v>
      </c>
      <c r="U51" s="1" t="e">
        <f t="shared" si="13"/>
        <v>#N/A</v>
      </c>
      <c r="W51" s="1" t="e">
        <f>IF(OR(Table1[[#This Row],[Type (TX, RX, TRX, Oscillator)]]="TRX",Table1[[#This Row],[Type (TX, RX, TRX, Oscillator)]]="TRX FE"),Table1[[#This Row],[Frequency (GHz)]],#N/A)</f>
        <v>#N/A</v>
      </c>
      <c r="X51" s="30" t="e">
        <f>IF(OR(Table1[[#This Row],[Type (TX, RX, TRX, Oscillator)]]="TRX", Table1[[#This Row],[Type (TX, RX, TRX, Oscillator)]]="TRX FE"),DATE(Table1[[#This Row],[Year ]],Table1[[#This Row],[Month]],1),#N/A)</f>
        <v>#N/A</v>
      </c>
      <c r="Y51" s="1" t="e">
        <f>IF(OR(Table1[[#This Row],[Type (TX, RX, TRX, Oscillator)]]="TRX", Table1[[#This Row],[Type (TX, RX, TRX, Oscillator)]]="TRX FE"),Table1[[#This Row],[Total Number of Elements (TX + RX)]],#N/A)</f>
        <v>#N/A</v>
      </c>
      <c r="Z51" s="1" t="e">
        <f t="shared" si="14"/>
        <v>#N/A</v>
      </c>
      <c r="AA51" s="1" t="e">
        <f t="shared" si="15"/>
        <v>#N/A</v>
      </c>
      <c r="AB51" s="1" t="e">
        <f t="shared" si="16"/>
        <v>#N/A</v>
      </c>
      <c r="AC51" s="1" t="e">
        <f t="shared" si="17"/>
        <v>#N/A</v>
      </c>
      <c r="AD51" s="1" t="e">
        <f t="shared" si="18"/>
        <v>#N/A</v>
      </c>
      <c r="AE51" s="1" t="e">
        <f t="shared" si="19"/>
        <v>#N/A</v>
      </c>
      <c r="AF51" s="1" t="e">
        <f t="shared" si="20"/>
        <v>#N/A</v>
      </c>
      <c r="AH51" s="1">
        <f>IF(Table1[[#This Row],[Type (TX, RX, TRX, Oscillator)]]="Oscillator",Table1[[#This Row],[Frequency (GHz)]],#N/A)</f>
        <v>490</v>
      </c>
      <c r="AI51" s="30">
        <f>IF(Table1[[#This Row],[Type (TX, RX, TRX, Oscillator)]]="Oscillator",DATE(Table1[[#This Row],[Year ]],Table1[[#This Row],[Month]],1),#N/A)</f>
        <v>43862</v>
      </c>
      <c r="AJ51" s="1">
        <f>IF(Table1[[#This Row],[Type (TX, RX, TRX, Oscillator)]]="Oscillator",Table1[[#This Row],[Total Number of Elements (TX + RX)]],#N/A)</f>
        <v>1</v>
      </c>
      <c r="AK51" s="1" t="e">
        <f t="shared" si="21"/>
        <v>#N/A</v>
      </c>
      <c r="AL51" s="1" t="e">
        <f t="shared" si="22"/>
        <v>#N/A</v>
      </c>
      <c r="AM51" s="1" t="e">
        <f t="shared" si="23"/>
        <v>#N/A</v>
      </c>
      <c r="AN51" s="1" t="e">
        <f t="shared" si="24"/>
        <v>#N/A</v>
      </c>
      <c r="AO51" s="1" t="e">
        <f t="shared" si="25"/>
        <v>#N/A</v>
      </c>
      <c r="AP51" s="1" t="e">
        <f t="shared" si="26"/>
        <v>#N/A</v>
      </c>
      <c r="AQ51" s="1">
        <f t="shared" si="27"/>
        <v>1</v>
      </c>
      <c r="AS51" s="1" t="e">
        <f>IF(Table1[[#This Row],[Type (TX, RX, TRX, Oscillator)]]="Relay",Table1[[#This Row],[Frequency (GHz)]],#N/A)</f>
        <v>#N/A</v>
      </c>
      <c r="AT51" s="30" t="e">
        <f>IF(Table1[[#This Row],[Type (TX, RX, TRX, Oscillator)]]="Relay",DATE(Table1[[#This Row],[Year ]],Table1[[#This Row],[Month]],1),#N/A)</f>
        <v>#N/A</v>
      </c>
      <c r="AU51" s="1" t="e">
        <f>IF(Table1[[#This Row],[Type (TX, RX, TRX, Oscillator)]]="Relay",Table1[[#This Row],[Total Number of Elements (TX + RX)]],#N/A)</f>
        <v>#N/A</v>
      </c>
      <c r="AV51" s="1" t="e">
        <f t="shared" si="28"/>
        <v>#N/A</v>
      </c>
      <c r="AW51" s="1" t="e">
        <f t="shared" si="29"/>
        <v>#N/A</v>
      </c>
      <c r="AX51" s="1" t="e">
        <f t="shared" si="30"/>
        <v>#N/A</v>
      </c>
      <c r="AY51" s="1" t="e">
        <f t="shared" si="31"/>
        <v>#N/A</v>
      </c>
      <c r="AZ51" s="1" t="e">
        <f t="shared" si="32"/>
        <v>#N/A</v>
      </c>
      <c r="BA51" s="1" t="e">
        <f t="shared" si="33"/>
        <v>#N/A</v>
      </c>
      <c r="BB51" s="1" t="e">
        <f t="shared" si="34"/>
        <v>#N/A</v>
      </c>
    </row>
    <row r="52" spans="1:54" x14ac:dyDescent="0.2">
      <c r="A52" s="1" t="e">
        <f>IF(OR(Table1[[#This Row],[Type (TX, RX, TRX, Oscillator)]]="TX", Table1[[#This Row],[Type (TX, RX, TRX, Oscillator)]]="TX FE"),Table1[[#This Row],[Frequency (GHz)]],#N/A)</f>
        <v>#N/A</v>
      </c>
      <c r="B52" s="30" t="e">
        <f>IF(OR(Table1[[#This Row],[Type (TX, RX, TRX, Oscillator)]]="TX", Table1[[#This Row],[Type (TX, RX, TRX, Oscillator)]]="TX FE"),DATE(Table1[[#This Row],[Year ]],Table1[[#This Row],[Month]],1),#N/A)</f>
        <v>#N/A</v>
      </c>
      <c r="C52" s="1" t="e">
        <f>IF(OR(Table1[[#This Row],[Type (TX, RX, TRX, Oscillator)]]="TX",Table1[[#This Row],[Type (TX, RX, TRX, Oscillator)]]="TX FE"),Table1[[#This Row],[Total Number of Elements (TX + RX)]],#N/A)</f>
        <v>#N/A</v>
      </c>
      <c r="D52" s="1" t="e">
        <f t="shared" si="0"/>
        <v>#N/A</v>
      </c>
      <c r="E52" s="1" t="e">
        <f t="shared" si="1"/>
        <v>#N/A</v>
      </c>
      <c r="F52" s="1" t="e">
        <f t="shared" si="2"/>
        <v>#N/A</v>
      </c>
      <c r="G52" s="1" t="e">
        <f t="shared" si="3"/>
        <v>#N/A</v>
      </c>
      <c r="H52" s="1" t="e">
        <f t="shared" si="4"/>
        <v>#N/A</v>
      </c>
      <c r="I52" s="1" t="e">
        <f t="shared" si="5"/>
        <v>#N/A</v>
      </c>
      <c r="J52" s="1" t="e">
        <f t="shared" si="6"/>
        <v>#N/A</v>
      </c>
      <c r="L52" s="1" t="e">
        <f>IF(OR(Table1[[#This Row],[Type (TX, RX, TRX, Oscillator)]]="RX", Table1[[#This Row],[Type (TX, RX, TRX, Oscillator)]]="RX FE"),Table1[[#This Row],[Frequency (GHz)]],#N/A)</f>
        <v>#N/A</v>
      </c>
      <c r="M52" s="30" t="e">
        <f>IF(OR(Table1[[#This Row],[Type (TX, RX, TRX, Oscillator)]]="RX", Table1[[#This Row],[Type (TX, RX, TRX, Oscillator)]]="RX FE"),DATE(Table1[[#This Row],[Year ]],Table1[[#This Row],[Month]],1),#N/A)</f>
        <v>#N/A</v>
      </c>
      <c r="N52" s="1" t="e">
        <f>IF(OR(Table1[[#This Row],[Type (TX, RX, TRX, Oscillator)]]="RX", Table1[[#This Row],[Type (TX, RX, TRX, Oscillator)]]="RX FE"),Table1[[#This Row],[Total Number of Elements (TX + RX)]],#N/A)</f>
        <v>#N/A</v>
      </c>
      <c r="O52" s="1" t="e">
        <f t="shared" si="7"/>
        <v>#N/A</v>
      </c>
      <c r="P52" s="1" t="e">
        <f t="shared" si="8"/>
        <v>#N/A</v>
      </c>
      <c r="Q52" s="1" t="e">
        <f t="shared" si="9"/>
        <v>#N/A</v>
      </c>
      <c r="R52" s="1" t="e">
        <f t="shared" si="10"/>
        <v>#N/A</v>
      </c>
      <c r="S52" s="1" t="e">
        <f t="shared" si="11"/>
        <v>#N/A</v>
      </c>
      <c r="T52" s="1" t="e">
        <f t="shared" si="12"/>
        <v>#N/A</v>
      </c>
      <c r="U52" s="1" t="e">
        <f t="shared" si="13"/>
        <v>#N/A</v>
      </c>
      <c r="W52" s="1" t="e">
        <f>IF(OR(Table1[[#This Row],[Type (TX, RX, TRX, Oscillator)]]="TRX",Table1[[#This Row],[Type (TX, RX, TRX, Oscillator)]]="TRX FE"),Table1[[#This Row],[Frequency (GHz)]],#N/A)</f>
        <v>#N/A</v>
      </c>
      <c r="X52" s="30" t="e">
        <f>IF(OR(Table1[[#This Row],[Type (TX, RX, TRX, Oscillator)]]="TRX", Table1[[#This Row],[Type (TX, RX, TRX, Oscillator)]]="TRX FE"),DATE(Table1[[#This Row],[Year ]],Table1[[#This Row],[Month]],1),#N/A)</f>
        <v>#N/A</v>
      </c>
      <c r="Y52" s="1" t="e">
        <f>IF(OR(Table1[[#This Row],[Type (TX, RX, TRX, Oscillator)]]="TRX", Table1[[#This Row],[Type (TX, RX, TRX, Oscillator)]]="TRX FE"),Table1[[#This Row],[Total Number of Elements (TX + RX)]],#N/A)</f>
        <v>#N/A</v>
      </c>
      <c r="Z52" s="1" t="e">
        <f t="shared" si="14"/>
        <v>#N/A</v>
      </c>
      <c r="AA52" s="1" t="e">
        <f t="shared" si="15"/>
        <v>#N/A</v>
      </c>
      <c r="AB52" s="1" t="e">
        <f t="shared" si="16"/>
        <v>#N/A</v>
      </c>
      <c r="AC52" s="1" t="e">
        <f t="shared" si="17"/>
        <v>#N/A</v>
      </c>
      <c r="AD52" s="1" t="e">
        <f t="shared" si="18"/>
        <v>#N/A</v>
      </c>
      <c r="AE52" s="1" t="e">
        <f t="shared" si="19"/>
        <v>#N/A</v>
      </c>
      <c r="AF52" s="1" t="e">
        <f t="shared" si="20"/>
        <v>#N/A</v>
      </c>
      <c r="AH52" s="1">
        <f>IF(Table1[[#This Row],[Type (TX, RX, TRX, Oscillator)]]="Oscillator",Table1[[#This Row],[Frequency (GHz)]],#N/A)</f>
        <v>670</v>
      </c>
      <c r="AI52" s="30">
        <f>IF(Table1[[#This Row],[Type (TX, RX, TRX, Oscillator)]]="Oscillator",DATE(Table1[[#This Row],[Year ]],Table1[[#This Row],[Month]],1),#N/A)</f>
        <v>43862</v>
      </c>
      <c r="AJ52" s="1">
        <f>IF(Table1[[#This Row],[Type (TX, RX, TRX, Oscillator)]]="Oscillator",Table1[[#This Row],[Total Number of Elements (TX + RX)]],#N/A)</f>
        <v>8</v>
      </c>
      <c r="AK52" s="1" t="e">
        <f t="shared" si="21"/>
        <v>#N/A</v>
      </c>
      <c r="AL52" s="1" t="e">
        <f t="shared" si="22"/>
        <v>#N/A</v>
      </c>
      <c r="AM52" s="1" t="e">
        <f t="shared" si="23"/>
        <v>#N/A</v>
      </c>
      <c r="AN52" s="1" t="e">
        <f t="shared" si="24"/>
        <v>#N/A</v>
      </c>
      <c r="AO52" s="1" t="e">
        <f t="shared" si="25"/>
        <v>#N/A</v>
      </c>
      <c r="AP52" s="1" t="e">
        <f t="shared" si="26"/>
        <v>#N/A</v>
      </c>
      <c r="AQ52" s="1">
        <f t="shared" si="27"/>
        <v>8</v>
      </c>
      <c r="AS52" s="1" t="e">
        <f>IF(Table1[[#This Row],[Type (TX, RX, TRX, Oscillator)]]="Relay",Table1[[#This Row],[Frequency (GHz)]],#N/A)</f>
        <v>#N/A</v>
      </c>
      <c r="AT52" s="30" t="e">
        <f>IF(Table1[[#This Row],[Type (TX, RX, TRX, Oscillator)]]="Relay",DATE(Table1[[#This Row],[Year ]],Table1[[#This Row],[Month]],1),#N/A)</f>
        <v>#N/A</v>
      </c>
      <c r="AU52" s="1" t="e">
        <f>IF(Table1[[#This Row],[Type (TX, RX, TRX, Oscillator)]]="Relay",Table1[[#This Row],[Total Number of Elements (TX + RX)]],#N/A)</f>
        <v>#N/A</v>
      </c>
      <c r="AV52" s="1" t="e">
        <f t="shared" si="28"/>
        <v>#N/A</v>
      </c>
      <c r="AW52" s="1" t="e">
        <f t="shared" si="29"/>
        <v>#N/A</v>
      </c>
      <c r="AX52" s="1" t="e">
        <f t="shared" si="30"/>
        <v>#N/A</v>
      </c>
      <c r="AY52" s="1" t="e">
        <f t="shared" si="31"/>
        <v>#N/A</v>
      </c>
      <c r="AZ52" s="1" t="e">
        <f t="shared" si="32"/>
        <v>#N/A</v>
      </c>
      <c r="BA52" s="1" t="e">
        <f t="shared" si="33"/>
        <v>#N/A</v>
      </c>
      <c r="BB52" s="1" t="e">
        <f t="shared" si="34"/>
        <v>#N/A</v>
      </c>
    </row>
    <row r="53" spans="1:54" x14ac:dyDescent="0.2">
      <c r="A53" s="1" t="e">
        <f>IF(OR(Table1[[#This Row],[Type (TX, RX, TRX, Oscillator)]]="TX", Table1[[#This Row],[Type (TX, RX, TRX, Oscillator)]]="TX FE"),Table1[[#This Row],[Frequency (GHz)]],#N/A)</f>
        <v>#N/A</v>
      </c>
      <c r="B53" s="30" t="e">
        <f>IF(OR(Table1[[#This Row],[Type (TX, RX, TRX, Oscillator)]]="TX", Table1[[#This Row],[Type (TX, RX, TRX, Oscillator)]]="TX FE"),DATE(Table1[[#This Row],[Year ]],Table1[[#This Row],[Month]],1),#N/A)</f>
        <v>#N/A</v>
      </c>
      <c r="C53" s="1" t="e">
        <f>IF(OR(Table1[[#This Row],[Type (TX, RX, TRX, Oscillator)]]="TX",Table1[[#This Row],[Type (TX, RX, TRX, Oscillator)]]="TX FE"),Table1[[#This Row],[Total Number of Elements (TX + RX)]],#N/A)</f>
        <v>#N/A</v>
      </c>
      <c r="D53" s="1" t="e">
        <f t="shared" si="0"/>
        <v>#N/A</v>
      </c>
      <c r="E53" s="1" t="e">
        <f t="shared" si="1"/>
        <v>#N/A</v>
      </c>
      <c r="F53" s="1" t="e">
        <f t="shared" si="2"/>
        <v>#N/A</v>
      </c>
      <c r="G53" s="1" t="e">
        <f t="shared" si="3"/>
        <v>#N/A</v>
      </c>
      <c r="H53" s="1" t="e">
        <f t="shared" si="4"/>
        <v>#N/A</v>
      </c>
      <c r="I53" s="1" t="e">
        <f t="shared" si="5"/>
        <v>#N/A</v>
      </c>
      <c r="J53" s="1" t="e">
        <f t="shared" si="6"/>
        <v>#N/A</v>
      </c>
      <c r="L53" s="1" t="e">
        <f>IF(OR(Table1[[#This Row],[Type (TX, RX, TRX, Oscillator)]]="RX", Table1[[#This Row],[Type (TX, RX, TRX, Oscillator)]]="RX FE"),Table1[[#This Row],[Frequency (GHz)]],#N/A)</f>
        <v>#N/A</v>
      </c>
      <c r="M53" s="30" t="e">
        <f>IF(OR(Table1[[#This Row],[Type (TX, RX, TRX, Oscillator)]]="RX", Table1[[#This Row],[Type (TX, RX, TRX, Oscillator)]]="RX FE"),DATE(Table1[[#This Row],[Year ]],Table1[[#This Row],[Month]],1),#N/A)</f>
        <v>#N/A</v>
      </c>
      <c r="N53" s="1" t="e">
        <f>IF(OR(Table1[[#This Row],[Type (TX, RX, TRX, Oscillator)]]="RX", Table1[[#This Row],[Type (TX, RX, TRX, Oscillator)]]="RX FE"),Table1[[#This Row],[Total Number of Elements (TX + RX)]],#N/A)</f>
        <v>#N/A</v>
      </c>
      <c r="O53" s="1" t="e">
        <f t="shared" si="7"/>
        <v>#N/A</v>
      </c>
      <c r="P53" s="1" t="e">
        <f t="shared" si="8"/>
        <v>#N/A</v>
      </c>
      <c r="Q53" s="1" t="e">
        <f t="shared" si="9"/>
        <v>#N/A</v>
      </c>
      <c r="R53" s="1" t="e">
        <f t="shared" si="10"/>
        <v>#N/A</v>
      </c>
      <c r="S53" s="1" t="e">
        <f t="shared" si="11"/>
        <v>#N/A</v>
      </c>
      <c r="T53" s="1" t="e">
        <f t="shared" si="12"/>
        <v>#N/A</v>
      </c>
      <c r="U53" s="1" t="e">
        <f t="shared" si="13"/>
        <v>#N/A</v>
      </c>
      <c r="W53" s="1">
        <f>IF(OR(Table1[[#This Row],[Type (TX, RX, TRX, Oscillator)]]="TRX",Table1[[#This Row],[Type (TX, RX, TRX, Oscillator)]]="TRX FE"),Table1[[#This Row],[Frequency (GHz)]],#N/A)</f>
        <v>75</v>
      </c>
      <c r="X53" s="30">
        <f>IF(OR(Table1[[#This Row],[Type (TX, RX, TRX, Oscillator)]]="TRX", Table1[[#This Row],[Type (TX, RX, TRX, Oscillator)]]="TRX FE"),DATE(Table1[[#This Row],[Year ]],Table1[[#This Row],[Month]],1),#N/A)</f>
        <v>44044</v>
      </c>
      <c r="Y53" s="1">
        <f>IF(OR(Table1[[#This Row],[Type (TX, RX, TRX, Oscillator)]]="TRX", Table1[[#This Row],[Type (TX, RX, TRX, Oscillator)]]="TRX FE"),Table1[[#This Row],[Total Number of Elements (TX + RX)]],#N/A)</f>
        <v>32</v>
      </c>
      <c r="Z53" s="1" t="e">
        <f t="shared" si="14"/>
        <v>#N/A</v>
      </c>
      <c r="AA53" s="1" t="e">
        <f t="shared" si="15"/>
        <v>#N/A</v>
      </c>
      <c r="AB53" s="1" t="e">
        <f t="shared" si="16"/>
        <v>#N/A</v>
      </c>
      <c r="AC53" s="1">
        <f t="shared" si="17"/>
        <v>32</v>
      </c>
      <c r="AD53" s="1" t="e">
        <f t="shared" si="18"/>
        <v>#N/A</v>
      </c>
      <c r="AE53" s="1" t="e">
        <f t="shared" si="19"/>
        <v>#N/A</v>
      </c>
      <c r="AF53" s="1" t="e">
        <f t="shared" si="20"/>
        <v>#N/A</v>
      </c>
      <c r="AH53" s="1" t="e">
        <f>IF(Table1[[#This Row],[Type (TX, RX, TRX, Oscillator)]]="Oscillator",Table1[[#This Row],[Frequency (GHz)]],#N/A)</f>
        <v>#N/A</v>
      </c>
      <c r="AI53" s="30" t="e">
        <f>IF(Table1[[#This Row],[Type (TX, RX, TRX, Oscillator)]]="Oscillator",DATE(Table1[[#This Row],[Year ]],Table1[[#This Row],[Month]],1),#N/A)</f>
        <v>#N/A</v>
      </c>
      <c r="AJ53" s="1" t="e">
        <f>IF(Table1[[#This Row],[Type (TX, RX, TRX, Oscillator)]]="Oscillator",Table1[[#This Row],[Total Number of Elements (TX + RX)]],#N/A)</f>
        <v>#N/A</v>
      </c>
      <c r="AK53" s="1" t="e">
        <f t="shared" si="21"/>
        <v>#N/A</v>
      </c>
      <c r="AL53" s="1" t="e">
        <f t="shared" si="22"/>
        <v>#N/A</v>
      </c>
      <c r="AM53" s="1" t="e">
        <f t="shared" si="23"/>
        <v>#N/A</v>
      </c>
      <c r="AN53" s="1" t="e">
        <f t="shared" si="24"/>
        <v>#N/A</v>
      </c>
      <c r="AO53" s="1" t="e">
        <f t="shared" si="25"/>
        <v>#N/A</v>
      </c>
      <c r="AP53" s="1" t="e">
        <f t="shared" si="26"/>
        <v>#N/A</v>
      </c>
      <c r="AQ53" s="1" t="e">
        <f t="shared" si="27"/>
        <v>#N/A</v>
      </c>
      <c r="AS53" s="1" t="e">
        <f>IF(Table1[[#This Row],[Type (TX, RX, TRX, Oscillator)]]="Relay",Table1[[#This Row],[Frequency (GHz)]],#N/A)</f>
        <v>#N/A</v>
      </c>
      <c r="AT53" s="30" t="e">
        <f>IF(Table1[[#This Row],[Type (TX, RX, TRX, Oscillator)]]="Relay",DATE(Table1[[#This Row],[Year ]],Table1[[#This Row],[Month]],1),#N/A)</f>
        <v>#N/A</v>
      </c>
      <c r="AU53" s="1" t="e">
        <f>IF(Table1[[#This Row],[Type (TX, RX, TRX, Oscillator)]]="Relay",Table1[[#This Row],[Total Number of Elements (TX + RX)]],#N/A)</f>
        <v>#N/A</v>
      </c>
      <c r="AV53" s="1" t="e">
        <f t="shared" si="28"/>
        <v>#N/A</v>
      </c>
      <c r="AW53" s="1" t="e">
        <f t="shared" si="29"/>
        <v>#N/A</v>
      </c>
      <c r="AX53" s="1" t="e">
        <f t="shared" si="30"/>
        <v>#N/A</v>
      </c>
      <c r="AY53" s="1" t="e">
        <f t="shared" si="31"/>
        <v>#N/A</v>
      </c>
      <c r="AZ53" s="1" t="e">
        <f t="shared" si="32"/>
        <v>#N/A</v>
      </c>
      <c r="BA53" s="1" t="e">
        <f t="shared" si="33"/>
        <v>#N/A</v>
      </c>
      <c r="BB53" s="1" t="e">
        <f t="shared" si="34"/>
        <v>#N/A</v>
      </c>
    </row>
    <row r="54" spans="1:54" x14ac:dyDescent="0.2">
      <c r="A54" s="1" t="e">
        <f>IF(OR(Table1[[#This Row],[Type (TX, RX, TRX, Oscillator)]]="TX", Table1[[#This Row],[Type (TX, RX, TRX, Oscillator)]]="TX FE"),Table1[[#This Row],[Frequency (GHz)]],#N/A)</f>
        <v>#N/A</v>
      </c>
      <c r="B54" s="30" t="e">
        <f>IF(OR(Table1[[#This Row],[Type (TX, RX, TRX, Oscillator)]]="TX", Table1[[#This Row],[Type (TX, RX, TRX, Oscillator)]]="TX FE"),DATE(Table1[[#This Row],[Year ]],Table1[[#This Row],[Month]],1),#N/A)</f>
        <v>#N/A</v>
      </c>
      <c r="C54" s="1" t="e">
        <f>IF(OR(Table1[[#This Row],[Type (TX, RX, TRX, Oscillator)]]="TX",Table1[[#This Row],[Type (TX, RX, TRX, Oscillator)]]="TX FE"),Table1[[#This Row],[Total Number of Elements (TX + RX)]],#N/A)</f>
        <v>#N/A</v>
      </c>
      <c r="D54" s="1" t="e">
        <f t="shared" si="0"/>
        <v>#N/A</v>
      </c>
      <c r="E54" s="1" t="e">
        <f t="shared" si="1"/>
        <v>#N/A</v>
      </c>
      <c r="F54" s="1" t="e">
        <f t="shared" si="2"/>
        <v>#N/A</v>
      </c>
      <c r="G54" s="1" t="e">
        <f t="shared" si="3"/>
        <v>#N/A</v>
      </c>
      <c r="H54" s="1" t="e">
        <f t="shared" si="4"/>
        <v>#N/A</v>
      </c>
      <c r="I54" s="1" t="e">
        <f t="shared" si="5"/>
        <v>#N/A</v>
      </c>
      <c r="J54" s="1" t="e">
        <f t="shared" si="6"/>
        <v>#N/A</v>
      </c>
      <c r="L54" s="1" t="e">
        <f>IF(OR(Table1[[#This Row],[Type (TX, RX, TRX, Oscillator)]]="RX", Table1[[#This Row],[Type (TX, RX, TRX, Oscillator)]]="RX FE"),Table1[[#This Row],[Frequency (GHz)]],#N/A)</f>
        <v>#N/A</v>
      </c>
      <c r="M54" s="30" t="e">
        <f>IF(OR(Table1[[#This Row],[Type (TX, RX, TRX, Oscillator)]]="RX", Table1[[#This Row],[Type (TX, RX, TRX, Oscillator)]]="RX FE"),DATE(Table1[[#This Row],[Year ]],Table1[[#This Row],[Month]],1),#N/A)</f>
        <v>#N/A</v>
      </c>
      <c r="N54" s="1" t="e">
        <f>IF(OR(Table1[[#This Row],[Type (TX, RX, TRX, Oscillator)]]="RX", Table1[[#This Row],[Type (TX, RX, TRX, Oscillator)]]="RX FE"),Table1[[#This Row],[Total Number of Elements (TX + RX)]],#N/A)</f>
        <v>#N/A</v>
      </c>
      <c r="O54" s="1" t="e">
        <f t="shared" si="7"/>
        <v>#N/A</v>
      </c>
      <c r="P54" s="1" t="e">
        <f t="shared" si="8"/>
        <v>#N/A</v>
      </c>
      <c r="Q54" s="1" t="e">
        <f t="shared" si="9"/>
        <v>#N/A</v>
      </c>
      <c r="R54" s="1" t="e">
        <f t="shared" si="10"/>
        <v>#N/A</v>
      </c>
      <c r="S54" s="1" t="e">
        <f t="shared" si="11"/>
        <v>#N/A</v>
      </c>
      <c r="T54" s="1" t="e">
        <f t="shared" si="12"/>
        <v>#N/A</v>
      </c>
      <c r="U54" s="1" t="e">
        <f t="shared" si="13"/>
        <v>#N/A</v>
      </c>
      <c r="W54" s="1">
        <f>IF(OR(Table1[[#This Row],[Type (TX, RX, TRX, Oscillator)]]="TRX",Table1[[#This Row],[Type (TX, RX, TRX, Oscillator)]]="TRX FE"),Table1[[#This Row],[Frequency (GHz)]],#N/A)</f>
        <v>135</v>
      </c>
      <c r="X54" s="30">
        <f>IF(OR(Table1[[#This Row],[Type (TX, RX, TRX, Oscillator)]]="TRX", Table1[[#This Row],[Type (TX, RX, TRX, Oscillator)]]="TRX FE"),DATE(Table1[[#This Row],[Year ]],Table1[[#This Row],[Month]],1),#N/A)</f>
        <v>44044</v>
      </c>
      <c r="Y54" s="1">
        <f>IF(OR(Table1[[#This Row],[Type (TX, RX, TRX, Oscillator)]]="TRX", Table1[[#This Row],[Type (TX, RX, TRX, Oscillator)]]="TRX FE"),Table1[[#This Row],[Total Number of Elements (TX + RX)]],#N/A)</f>
        <v>2</v>
      </c>
      <c r="Z54" s="1" t="e">
        <f t="shared" si="14"/>
        <v>#N/A</v>
      </c>
      <c r="AA54" s="1" t="e">
        <f t="shared" si="15"/>
        <v>#N/A</v>
      </c>
      <c r="AB54" s="1" t="e">
        <f t="shared" si="16"/>
        <v>#N/A</v>
      </c>
      <c r="AC54" s="1" t="e">
        <f t="shared" si="17"/>
        <v>#N/A</v>
      </c>
      <c r="AD54" s="1">
        <f t="shared" si="18"/>
        <v>2</v>
      </c>
      <c r="AE54" s="1" t="e">
        <f t="shared" si="19"/>
        <v>#N/A</v>
      </c>
      <c r="AF54" s="1" t="e">
        <f t="shared" si="20"/>
        <v>#N/A</v>
      </c>
      <c r="AH54" s="1" t="e">
        <f>IF(Table1[[#This Row],[Type (TX, RX, TRX, Oscillator)]]="Oscillator",Table1[[#This Row],[Frequency (GHz)]],#N/A)</f>
        <v>#N/A</v>
      </c>
      <c r="AI54" s="30" t="e">
        <f>IF(Table1[[#This Row],[Type (TX, RX, TRX, Oscillator)]]="Oscillator",DATE(Table1[[#This Row],[Year ]],Table1[[#This Row],[Month]],1),#N/A)</f>
        <v>#N/A</v>
      </c>
      <c r="AJ54" s="1" t="e">
        <f>IF(Table1[[#This Row],[Type (TX, RX, TRX, Oscillator)]]="Oscillator",Table1[[#This Row],[Total Number of Elements (TX + RX)]],#N/A)</f>
        <v>#N/A</v>
      </c>
      <c r="AK54" s="1" t="e">
        <f t="shared" si="21"/>
        <v>#N/A</v>
      </c>
      <c r="AL54" s="1" t="e">
        <f t="shared" si="22"/>
        <v>#N/A</v>
      </c>
      <c r="AM54" s="1" t="e">
        <f t="shared" si="23"/>
        <v>#N/A</v>
      </c>
      <c r="AN54" s="1" t="e">
        <f t="shared" si="24"/>
        <v>#N/A</v>
      </c>
      <c r="AO54" s="1" t="e">
        <f t="shared" si="25"/>
        <v>#N/A</v>
      </c>
      <c r="AP54" s="1" t="e">
        <f t="shared" si="26"/>
        <v>#N/A</v>
      </c>
      <c r="AQ54" s="1" t="e">
        <f t="shared" si="27"/>
        <v>#N/A</v>
      </c>
      <c r="AS54" s="1" t="e">
        <f>IF(Table1[[#This Row],[Type (TX, RX, TRX, Oscillator)]]="Relay",Table1[[#This Row],[Frequency (GHz)]],#N/A)</f>
        <v>#N/A</v>
      </c>
      <c r="AT54" s="30" t="e">
        <f>IF(Table1[[#This Row],[Type (TX, RX, TRX, Oscillator)]]="Relay",DATE(Table1[[#This Row],[Year ]],Table1[[#This Row],[Month]],1),#N/A)</f>
        <v>#N/A</v>
      </c>
      <c r="AU54" s="1" t="e">
        <f>IF(Table1[[#This Row],[Type (TX, RX, TRX, Oscillator)]]="Relay",Table1[[#This Row],[Total Number of Elements (TX + RX)]],#N/A)</f>
        <v>#N/A</v>
      </c>
      <c r="AV54" s="1" t="e">
        <f t="shared" si="28"/>
        <v>#N/A</v>
      </c>
      <c r="AW54" s="1" t="e">
        <f t="shared" si="29"/>
        <v>#N/A</v>
      </c>
      <c r="AX54" s="1" t="e">
        <f t="shared" si="30"/>
        <v>#N/A</v>
      </c>
      <c r="AY54" s="1" t="e">
        <f t="shared" si="31"/>
        <v>#N/A</v>
      </c>
      <c r="AZ54" s="1" t="e">
        <f t="shared" si="32"/>
        <v>#N/A</v>
      </c>
      <c r="BA54" s="1" t="e">
        <f t="shared" si="33"/>
        <v>#N/A</v>
      </c>
      <c r="BB54" s="1" t="e">
        <f t="shared" si="34"/>
        <v>#N/A</v>
      </c>
    </row>
    <row r="55" spans="1:54" x14ac:dyDescent="0.2">
      <c r="A55" s="1" t="e">
        <f>IF(OR(Table1[[#This Row],[Type (TX, RX, TRX, Oscillator)]]="TX", Table1[[#This Row],[Type (TX, RX, TRX, Oscillator)]]="TX FE"),Table1[[#This Row],[Frequency (GHz)]],#N/A)</f>
        <v>#N/A</v>
      </c>
      <c r="B55" s="30" t="e">
        <f>IF(OR(Table1[[#This Row],[Type (TX, RX, TRX, Oscillator)]]="TX", Table1[[#This Row],[Type (TX, RX, TRX, Oscillator)]]="TX FE"),DATE(Table1[[#This Row],[Year ]],Table1[[#This Row],[Month]],1),#N/A)</f>
        <v>#N/A</v>
      </c>
      <c r="C55" s="1" t="e">
        <f>IF(OR(Table1[[#This Row],[Type (TX, RX, TRX, Oscillator)]]="TX",Table1[[#This Row],[Type (TX, RX, TRX, Oscillator)]]="TX FE"),Table1[[#This Row],[Total Number of Elements (TX + RX)]],#N/A)</f>
        <v>#N/A</v>
      </c>
      <c r="D55" s="1" t="e">
        <f t="shared" si="0"/>
        <v>#N/A</v>
      </c>
      <c r="E55" s="1" t="e">
        <f t="shared" si="1"/>
        <v>#N/A</v>
      </c>
      <c r="F55" s="1" t="e">
        <f t="shared" si="2"/>
        <v>#N/A</v>
      </c>
      <c r="G55" s="1" t="e">
        <f t="shared" si="3"/>
        <v>#N/A</v>
      </c>
      <c r="H55" s="1" t="e">
        <f t="shared" si="4"/>
        <v>#N/A</v>
      </c>
      <c r="I55" s="1" t="e">
        <f t="shared" si="5"/>
        <v>#N/A</v>
      </c>
      <c r="J55" s="1" t="e">
        <f t="shared" si="6"/>
        <v>#N/A</v>
      </c>
      <c r="L55" s="1" t="e">
        <f>IF(OR(Table1[[#This Row],[Type (TX, RX, TRX, Oscillator)]]="RX", Table1[[#This Row],[Type (TX, RX, TRX, Oscillator)]]="RX FE"),Table1[[#This Row],[Frequency (GHz)]],#N/A)</f>
        <v>#N/A</v>
      </c>
      <c r="M55" s="30" t="e">
        <f>IF(OR(Table1[[#This Row],[Type (TX, RX, TRX, Oscillator)]]="RX", Table1[[#This Row],[Type (TX, RX, TRX, Oscillator)]]="RX FE"),DATE(Table1[[#This Row],[Year ]],Table1[[#This Row],[Month]],1),#N/A)</f>
        <v>#N/A</v>
      </c>
      <c r="N55" s="1" t="e">
        <f>IF(OR(Table1[[#This Row],[Type (TX, RX, TRX, Oscillator)]]="RX", Table1[[#This Row],[Type (TX, RX, TRX, Oscillator)]]="RX FE"),Table1[[#This Row],[Total Number of Elements (TX + RX)]],#N/A)</f>
        <v>#N/A</v>
      </c>
      <c r="O55" s="1" t="e">
        <f t="shared" si="7"/>
        <v>#N/A</v>
      </c>
      <c r="P55" s="1" t="e">
        <f t="shared" si="8"/>
        <v>#N/A</v>
      </c>
      <c r="Q55" s="1" t="e">
        <f t="shared" si="9"/>
        <v>#N/A</v>
      </c>
      <c r="R55" s="1" t="e">
        <f t="shared" si="10"/>
        <v>#N/A</v>
      </c>
      <c r="S55" s="1" t="e">
        <f t="shared" si="11"/>
        <v>#N/A</v>
      </c>
      <c r="T55" s="1" t="e">
        <f t="shared" si="12"/>
        <v>#N/A</v>
      </c>
      <c r="U55" s="1" t="e">
        <f t="shared" si="13"/>
        <v>#N/A</v>
      </c>
      <c r="W55" s="1">
        <f>IF(OR(Table1[[#This Row],[Type (TX, RX, TRX, Oscillator)]]="TRX",Table1[[#This Row],[Type (TX, RX, TRX, Oscillator)]]="TRX FE"),Table1[[#This Row],[Frequency (GHz)]],#N/A)</f>
        <v>150</v>
      </c>
      <c r="X55" s="30">
        <f>IF(OR(Table1[[#This Row],[Type (TX, RX, TRX, Oscillator)]]="TRX", Table1[[#This Row],[Type (TX, RX, TRX, Oscillator)]]="TRX FE"),DATE(Table1[[#This Row],[Year ]],Table1[[#This Row],[Month]],1),#N/A)</f>
        <v>44044</v>
      </c>
      <c r="Y55" s="1">
        <f>IF(OR(Table1[[#This Row],[Type (TX, RX, TRX, Oscillator)]]="TRX", Table1[[#This Row],[Type (TX, RX, TRX, Oscillator)]]="TRX FE"),Table1[[#This Row],[Total Number of Elements (TX + RX)]],#N/A)</f>
        <v>2</v>
      </c>
      <c r="Z55" s="1" t="e">
        <f t="shared" si="14"/>
        <v>#N/A</v>
      </c>
      <c r="AA55" s="1" t="e">
        <f t="shared" si="15"/>
        <v>#N/A</v>
      </c>
      <c r="AB55" s="1" t="e">
        <f t="shared" si="16"/>
        <v>#N/A</v>
      </c>
      <c r="AC55" s="1" t="e">
        <f t="shared" si="17"/>
        <v>#N/A</v>
      </c>
      <c r="AD55" s="1">
        <f t="shared" si="18"/>
        <v>2</v>
      </c>
      <c r="AE55" s="1" t="e">
        <f t="shared" si="19"/>
        <v>#N/A</v>
      </c>
      <c r="AF55" s="1" t="e">
        <f t="shared" si="20"/>
        <v>#N/A</v>
      </c>
      <c r="AH55" s="1" t="e">
        <f>IF(Table1[[#This Row],[Type (TX, RX, TRX, Oscillator)]]="Oscillator",Table1[[#This Row],[Frequency (GHz)]],#N/A)</f>
        <v>#N/A</v>
      </c>
      <c r="AI55" s="30" t="e">
        <f>IF(Table1[[#This Row],[Type (TX, RX, TRX, Oscillator)]]="Oscillator",DATE(Table1[[#This Row],[Year ]],Table1[[#This Row],[Month]],1),#N/A)</f>
        <v>#N/A</v>
      </c>
      <c r="AJ55" s="1" t="e">
        <f>IF(Table1[[#This Row],[Type (TX, RX, TRX, Oscillator)]]="Oscillator",Table1[[#This Row],[Total Number of Elements (TX + RX)]],#N/A)</f>
        <v>#N/A</v>
      </c>
      <c r="AK55" s="1" t="e">
        <f t="shared" si="21"/>
        <v>#N/A</v>
      </c>
      <c r="AL55" s="1" t="e">
        <f t="shared" si="22"/>
        <v>#N/A</v>
      </c>
      <c r="AM55" s="1" t="e">
        <f t="shared" si="23"/>
        <v>#N/A</v>
      </c>
      <c r="AN55" s="1" t="e">
        <f t="shared" si="24"/>
        <v>#N/A</v>
      </c>
      <c r="AO55" s="1" t="e">
        <f t="shared" si="25"/>
        <v>#N/A</v>
      </c>
      <c r="AP55" s="1" t="e">
        <f t="shared" si="26"/>
        <v>#N/A</v>
      </c>
      <c r="AQ55" s="1" t="e">
        <f t="shared" si="27"/>
        <v>#N/A</v>
      </c>
      <c r="AS55" s="1" t="e">
        <f>IF(Table1[[#This Row],[Type (TX, RX, TRX, Oscillator)]]="Relay",Table1[[#This Row],[Frequency (GHz)]],#N/A)</f>
        <v>#N/A</v>
      </c>
      <c r="AT55" s="30" t="e">
        <f>IF(Table1[[#This Row],[Type (TX, RX, TRX, Oscillator)]]="Relay",DATE(Table1[[#This Row],[Year ]],Table1[[#This Row],[Month]],1),#N/A)</f>
        <v>#N/A</v>
      </c>
      <c r="AU55" s="1" t="e">
        <f>IF(Table1[[#This Row],[Type (TX, RX, TRX, Oscillator)]]="Relay",Table1[[#This Row],[Total Number of Elements (TX + RX)]],#N/A)</f>
        <v>#N/A</v>
      </c>
      <c r="AV55" s="1" t="e">
        <f t="shared" si="28"/>
        <v>#N/A</v>
      </c>
      <c r="AW55" s="1" t="e">
        <f t="shared" si="29"/>
        <v>#N/A</v>
      </c>
      <c r="AX55" s="1" t="e">
        <f t="shared" si="30"/>
        <v>#N/A</v>
      </c>
      <c r="AY55" s="1" t="e">
        <f t="shared" si="31"/>
        <v>#N/A</v>
      </c>
      <c r="AZ55" s="1" t="e">
        <f t="shared" si="32"/>
        <v>#N/A</v>
      </c>
      <c r="BA55" s="1" t="e">
        <f t="shared" si="33"/>
        <v>#N/A</v>
      </c>
      <c r="BB55" s="1" t="e">
        <f t="shared" si="34"/>
        <v>#N/A</v>
      </c>
    </row>
    <row r="56" spans="1:54" x14ac:dyDescent="0.2">
      <c r="A56" s="1" t="e">
        <f>IF(OR(Table1[[#This Row],[Type (TX, RX, TRX, Oscillator)]]="TX", Table1[[#This Row],[Type (TX, RX, TRX, Oscillator)]]="TX FE"),Table1[[#This Row],[Frequency (GHz)]],#N/A)</f>
        <v>#N/A</v>
      </c>
      <c r="B56" s="30" t="e">
        <f>IF(OR(Table1[[#This Row],[Type (TX, RX, TRX, Oscillator)]]="TX", Table1[[#This Row],[Type (TX, RX, TRX, Oscillator)]]="TX FE"),DATE(Table1[[#This Row],[Year ]],Table1[[#This Row],[Month]],1),#N/A)</f>
        <v>#N/A</v>
      </c>
      <c r="C56" s="1" t="e">
        <f>IF(OR(Table1[[#This Row],[Type (TX, RX, TRX, Oscillator)]]="TX",Table1[[#This Row],[Type (TX, RX, TRX, Oscillator)]]="TX FE"),Table1[[#This Row],[Total Number of Elements (TX + RX)]],#N/A)</f>
        <v>#N/A</v>
      </c>
      <c r="D56" s="1" t="e">
        <f t="shared" si="0"/>
        <v>#N/A</v>
      </c>
      <c r="E56" s="1" t="e">
        <f t="shared" si="1"/>
        <v>#N/A</v>
      </c>
      <c r="F56" s="1" t="e">
        <f t="shared" si="2"/>
        <v>#N/A</v>
      </c>
      <c r="G56" s="1" t="e">
        <f t="shared" si="3"/>
        <v>#N/A</v>
      </c>
      <c r="H56" s="1" t="e">
        <f t="shared" si="4"/>
        <v>#N/A</v>
      </c>
      <c r="I56" s="1" t="e">
        <f t="shared" si="5"/>
        <v>#N/A</v>
      </c>
      <c r="J56" s="1" t="e">
        <f t="shared" si="6"/>
        <v>#N/A</v>
      </c>
      <c r="L56" s="1">
        <f>IF(OR(Table1[[#This Row],[Type (TX, RX, TRX, Oscillator)]]="RX", Table1[[#This Row],[Type (TX, RX, TRX, Oscillator)]]="RX FE"),Table1[[#This Row],[Frequency (GHz)]],#N/A)</f>
        <v>500</v>
      </c>
      <c r="M56" s="30">
        <f>IF(OR(Table1[[#This Row],[Type (TX, RX, TRX, Oscillator)]]="RX", Table1[[#This Row],[Type (TX, RX, TRX, Oscillator)]]="RX FE"),DATE(Table1[[#This Row],[Year ]],Table1[[#This Row],[Month]],1),#N/A)</f>
        <v>44044</v>
      </c>
      <c r="N56" s="1">
        <f>IF(OR(Table1[[#This Row],[Type (TX, RX, TRX, Oscillator)]]="RX", Table1[[#This Row],[Type (TX, RX, TRX, Oscillator)]]="RX FE"),Table1[[#This Row],[Total Number of Elements (TX + RX)]],#N/A)</f>
        <v>1</v>
      </c>
      <c r="O56" s="1" t="e">
        <f t="shared" si="7"/>
        <v>#N/A</v>
      </c>
      <c r="P56" s="1" t="e">
        <f t="shared" si="8"/>
        <v>#N/A</v>
      </c>
      <c r="Q56" s="1" t="e">
        <f t="shared" si="9"/>
        <v>#N/A</v>
      </c>
      <c r="R56" s="1" t="e">
        <f t="shared" si="10"/>
        <v>#N/A</v>
      </c>
      <c r="S56" s="1" t="e">
        <f t="shared" si="11"/>
        <v>#N/A</v>
      </c>
      <c r="T56" s="1" t="e">
        <f t="shared" si="12"/>
        <v>#N/A</v>
      </c>
      <c r="U56" s="1">
        <f t="shared" si="13"/>
        <v>1</v>
      </c>
      <c r="W56" s="1" t="e">
        <f>IF(OR(Table1[[#This Row],[Type (TX, RX, TRX, Oscillator)]]="TRX",Table1[[#This Row],[Type (TX, RX, TRX, Oscillator)]]="TRX FE"),Table1[[#This Row],[Frequency (GHz)]],#N/A)</f>
        <v>#N/A</v>
      </c>
      <c r="X56" s="30" t="e">
        <f>IF(OR(Table1[[#This Row],[Type (TX, RX, TRX, Oscillator)]]="TRX", Table1[[#This Row],[Type (TX, RX, TRX, Oscillator)]]="TRX FE"),DATE(Table1[[#This Row],[Year ]],Table1[[#This Row],[Month]],1),#N/A)</f>
        <v>#N/A</v>
      </c>
      <c r="Y56" s="1" t="e">
        <f>IF(OR(Table1[[#This Row],[Type (TX, RX, TRX, Oscillator)]]="TRX", Table1[[#This Row],[Type (TX, RX, TRX, Oscillator)]]="TRX FE"),Table1[[#This Row],[Total Number of Elements (TX + RX)]],#N/A)</f>
        <v>#N/A</v>
      </c>
      <c r="Z56" s="1" t="e">
        <f t="shared" si="14"/>
        <v>#N/A</v>
      </c>
      <c r="AA56" s="1" t="e">
        <f t="shared" si="15"/>
        <v>#N/A</v>
      </c>
      <c r="AB56" s="1" t="e">
        <f t="shared" si="16"/>
        <v>#N/A</v>
      </c>
      <c r="AC56" s="1" t="e">
        <f t="shared" si="17"/>
        <v>#N/A</v>
      </c>
      <c r="AD56" s="1" t="e">
        <f t="shared" si="18"/>
        <v>#N/A</v>
      </c>
      <c r="AE56" s="1" t="e">
        <f t="shared" si="19"/>
        <v>#N/A</v>
      </c>
      <c r="AF56" s="1" t="e">
        <f t="shared" si="20"/>
        <v>#N/A</v>
      </c>
      <c r="AH56" s="1" t="e">
        <f>IF(Table1[[#This Row],[Type (TX, RX, TRX, Oscillator)]]="Oscillator",Table1[[#This Row],[Frequency (GHz)]],#N/A)</f>
        <v>#N/A</v>
      </c>
      <c r="AI56" s="30" t="e">
        <f>IF(Table1[[#This Row],[Type (TX, RX, TRX, Oscillator)]]="Oscillator",DATE(Table1[[#This Row],[Year ]],Table1[[#This Row],[Month]],1),#N/A)</f>
        <v>#N/A</v>
      </c>
      <c r="AJ56" s="1" t="e">
        <f>IF(Table1[[#This Row],[Type (TX, RX, TRX, Oscillator)]]="Oscillator",Table1[[#This Row],[Total Number of Elements (TX + RX)]],#N/A)</f>
        <v>#N/A</v>
      </c>
      <c r="AK56" s="1" t="e">
        <f t="shared" si="21"/>
        <v>#N/A</v>
      </c>
      <c r="AL56" s="1" t="e">
        <f t="shared" si="22"/>
        <v>#N/A</v>
      </c>
      <c r="AM56" s="1" t="e">
        <f t="shared" si="23"/>
        <v>#N/A</v>
      </c>
      <c r="AN56" s="1" t="e">
        <f t="shared" si="24"/>
        <v>#N/A</v>
      </c>
      <c r="AO56" s="1" t="e">
        <f t="shared" si="25"/>
        <v>#N/A</v>
      </c>
      <c r="AP56" s="1" t="e">
        <f t="shared" si="26"/>
        <v>#N/A</v>
      </c>
      <c r="AQ56" s="1" t="e">
        <f t="shared" si="27"/>
        <v>#N/A</v>
      </c>
      <c r="AS56" s="1" t="e">
        <f>IF(Table1[[#This Row],[Type (TX, RX, TRX, Oscillator)]]="Relay",Table1[[#This Row],[Frequency (GHz)]],#N/A)</f>
        <v>#N/A</v>
      </c>
      <c r="AT56" s="30" t="e">
        <f>IF(Table1[[#This Row],[Type (TX, RX, TRX, Oscillator)]]="Relay",DATE(Table1[[#This Row],[Year ]],Table1[[#This Row],[Month]],1),#N/A)</f>
        <v>#N/A</v>
      </c>
      <c r="AU56" s="1" t="e">
        <f>IF(Table1[[#This Row],[Type (TX, RX, TRX, Oscillator)]]="Relay",Table1[[#This Row],[Total Number of Elements (TX + RX)]],#N/A)</f>
        <v>#N/A</v>
      </c>
      <c r="AV56" s="1" t="e">
        <f t="shared" si="28"/>
        <v>#N/A</v>
      </c>
      <c r="AW56" s="1" t="e">
        <f t="shared" si="29"/>
        <v>#N/A</v>
      </c>
      <c r="AX56" s="1" t="e">
        <f t="shared" si="30"/>
        <v>#N/A</v>
      </c>
      <c r="AY56" s="1" t="e">
        <f t="shared" si="31"/>
        <v>#N/A</v>
      </c>
      <c r="AZ56" s="1" t="e">
        <f t="shared" si="32"/>
        <v>#N/A</v>
      </c>
      <c r="BA56" s="1" t="e">
        <f t="shared" si="33"/>
        <v>#N/A</v>
      </c>
      <c r="BB56" s="1" t="e">
        <f t="shared" si="34"/>
        <v>#N/A</v>
      </c>
    </row>
    <row r="57" spans="1:54" x14ac:dyDescent="0.2">
      <c r="A57" s="1">
        <f>IF(OR(Table1[[#This Row],[Type (TX, RX, TRX, Oscillator)]]="TX", Table1[[#This Row],[Type (TX, RX, TRX, Oscillator)]]="TX FE"),Table1[[#This Row],[Frequency (GHz)]],#N/A)</f>
        <v>390</v>
      </c>
      <c r="B57" s="30">
        <f>IF(OR(Table1[[#This Row],[Type (TX, RX, TRX, Oscillator)]]="TX", Table1[[#This Row],[Type (TX, RX, TRX, Oscillator)]]="TX FE"),DATE(Table1[[#This Row],[Year ]],Table1[[#This Row],[Month]],1),#N/A)</f>
        <v>44044</v>
      </c>
      <c r="C57" s="1">
        <f>IF(OR(Table1[[#This Row],[Type (TX, RX, TRX, Oscillator)]]="TX",Table1[[#This Row],[Type (TX, RX, TRX, Oscillator)]]="TX FE"),Table1[[#This Row],[Total Number of Elements (TX + RX)]],#N/A)</f>
        <v>1</v>
      </c>
      <c r="D57" s="1" t="e">
        <f t="shared" si="0"/>
        <v>#N/A</v>
      </c>
      <c r="E57" s="1" t="e">
        <f t="shared" si="1"/>
        <v>#N/A</v>
      </c>
      <c r="F57" s="1" t="e">
        <f t="shared" si="2"/>
        <v>#N/A</v>
      </c>
      <c r="G57" s="1" t="e">
        <f t="shared" si="3"/>
        <v>#N/A</v>
      </c>
      <c r="H57" s="1" t="e">
        <f t="shared" si="4"/>
        <v>#N/A</v>
      </c>
      <c r="I57" s="1" t="e">
        <f t="shared" si="5"/>
        <v>#N/A</v>
      </c>
      <c r="J57" s="1">
        <f t="shared" si="6"/>
        <v>1</v>
      </c>
      <c r="L57" s="1" t="e">
        <f>IF(OR(Table1[[#This Row],[Type (TX, RX, TRX, Oscillator)]]="RX", Table1[[#This Row],[Type (TX, RX, TRX, Oscillator)]]="RX FE"),Table1[[#This Row],[Frequency (GHz)]],#N/A)</f>
        <v>#N/A</v>
      </c>
      <c r="M57" s="30" t="e">
        <f>IF(OR(Table1[[#This Row],[Type (TX, RX, TRX, Oscillator)]]="RX", Table1[[#This Row],[Type (TX, RX, TRX, Oscillator)]]="RX FE"),DATE(Table1[[#This Row],[Year ]],Table1[[#This Row],[Month]],1),#N/A)</f>
        <v>#N/A</v>
      </c>
      <c r="N57" s="1" t="e">
        <f>IF(OR(Table1[[#This Row],[Type (TX, RX, TRX, Oscillator)]]="RX", Table1[[#This Row],[Type (TX, RX, TRX, Oscillator)]]="RX FE"),Table1[[#This Row],[Total Number of Elements (TX + RX)]],#N/A)</f>
        <v>#N/A</v>
      </c>
      <c r="O57" s="1" t="e">
        <f t="shared" si="7"/>
        <v>#N/A</v>
      </c>
      <c r="P57" s="1" t="e">
        <f t="shared" si="8"/>
        <v>#N/A</v>
      </c>
      <c r="Q57" s="1" t="e">
        <f t="shared" si="9"/>
        <v>#N/A</v>
      </c>
      <c r="R57" s="1" t="e">
        <f t="shared" si="10"/>
        <v>#N/A</v>
      </c>
      <c r="S57" s="1" t="e">
        <f t="shared" si="11"/>
        <v>#N/A</v>
      </c>
      <c r="T57" s="1" t="e">
        <f t="shared" si="12"/>
        <v>#N/A</v>
      </c>
      <c r="U57" s="1" t="e">
        <f t="shared" si="13"/>
        <v>#N/A</v>
      </c>
      <c r="W57" s="1" t="e">
        <f>IF(OR(Table1[[#This Row],[Type (TX, RX, TRX, Oscillator)]]="TRX",Table1[[#This Row],[Type (TX, RX, TRX, Oscillator)]]="TRX FE"),Table1[[#This Row],[Frequency (GHz)]],#N/A)</f>
        <v>#N/A</v>
      </c>
      <c r="X57" s="30" t="e">
        <f>IF(OR(Table1[[#This Row],[Type (TX, RX, TRX, Oscillator)]]="TRX", Table1[[#This Row],[Type (TX, RX, TRX, Oscillator)]]="TRX FE"),DATE(Table1[[#This Row],[Year ]],Table1[[#This Row],[Month]],1),#N/A)</f>
        <v>#N/A</v>
      </c>
      <c r="Y57" s="1" t="e">
        <f>IF(OR(Table1[[#This Row],[Type (TX, RX, TRX, Oscillator)]]="TRX", Table1[[#This Row],[Type (TX, RX, TRX, Oscillator)]]="TRX FE"),Table1[[#This Row],[Total Number of Elements (TX + RX)]],#N/A)</f>
        <v>#N/A</v>
      </c>
      <c r="Z57" s="1" t="e">
        <f t="shared" si="14"/>
        <v>#N/A</v>
      </c>
      <c r="AA57" s="1" t="e">
        <f t="shared" si="15"/>
        <v>#N/A</v>
      </c>
      <c r="AB57" s="1" t="e">
        <f t="shared" si="16"/>
        <v>#N/A</v>
      </c>
      <c r="AC57" s="1" t="e">
        <f t="shared" si="17"/>
        <v>#N/A</v>
      </c>
      <c r="AD57" s="1" t="e">
        <f t="shared" si="18"/>
        <v>#N/A</v>
      </c>
      <c r="AE57" s="1" t="e">
        <f t="shared" si="19"/>
        <v>#N/A</v>
      </c>
      <c r="AF57" s="1" t="e">
        <f t="shared" si="20"/>
        <v>#N/A</v>
      </c>
      <c r="AH57" s="1" t="e">
        <f>IF(Table1[[#This Row],[Type (TX, RX, TRX, Oscillator)]]="Oscillator",Table1[[#This Row],[Frequency (GHz)]],#N/A)</f>
        <v>#N/A</v>
      </c>
      <c r="AI57" s="30" t="e">
        <f>IF(Table1[[#This Row],[Type (TX, RX, TRX, Oscillator)]]="Oscillator",DATE(Table1[[#This Row],[Year ]],Table1[[#This Row],[Month]],1),#N/A)</f>
        <v>#N/A</v>
      </c>
      <c r="AJ57" s="1" t="e">
        <f>IF(Table1[[#This Row],[Type (TX, RX, TRX, Oscillator)]]="Oscillator",Table1[[#This Row],[Total Number of Elements (TX + RX)]],#N/A)</f>
        <v>#N/A</v>
      </c>
      <c r="AK57" s="1" t="e">
        <f t="shared" si="21"/>
        <v>#N/A</v>
      </c>
      <c r="AL57" s="1" t="e">
        <f t="shared" si="22"/>
        <v>#N/A</v>
      </c>
      <c r="AM57" s="1" t="e">
        <f t="shared" si="23"/>
        <v>#N/A</v>
      </c>
      <c r="AN57" s="1" t="e">
        <f t="shared" si="24"/>
        <v>#N/A</v>
      </c>
      <c r="AO57" s="1" t="e">
        <f t="shared" si="25"/>
        <v>#N/A</v>
      </c>
      <c r="AP57" s="1" t="e">
        <f t="shared" si="26"/>
        <v>#N/A</v>
      </c>
      <c r="AQ57" s="1" t="e">
        <f t="shared" si="27"/>
        <v>#N/A</v>
      </c>
      <c r="AS57" s="1" t="e">
        <f>IF(Table1[[#This Row],[Type (TX, RX, TRX, Oscillator)]]="Relay",Table1[[#This Row],[Frequency (GHz)]],#N/A)</f>
        <v>#N/A</v>
      </c>
      <c r="AT57" s="30" t="e">
        <f>IF(Table1[[#This Row],[Type (TX, RX, TRX, Oscillator)]]="Relay",DATE(Table1[[#This Row],[Year ]],Table1[[#This Row],[Month]],1),#N/A)</f>
        <v>#N/A</v>
      </c>
      <c r="AU57" s="1" t="e">
        <f>IF(Table1[[#This Row],[Type (TX, RX, TRX, Oscillator)]]="Relay",Table1[[#This Row],[Total Number of Elements (TX + RX)]],#N/A)</f>
        <v>#N/A</v>
      </c>
      <c r="AV57" s="1" t="e">
        <f t="shared" si="28"/>
        <v>#N/A</v>
      </c>
      <c r="AW57" s="1" t="e">
        <f t="shared" si="29"/>
        <v>#N/A</v>
      </c>
      <c r="AX57" s="1" t="e">
        <f t="shared" si="30"/>
        <v>#N/A</v>
      </c>
      <c r="AY57" s="1" t="e">
        <f t="shared" si="31"/>
        <v>#N/A</v>
      </c>
      <c r="AZ57" s="1" t="e">
        <f t="shared" si="32"/>
        <v>#N/A</v>
      </c>
      <c r="BA57" s="1" t="e">
        <f t="shared" si="33"/>
        <v>#N/A</v>
      </c>
      <c r="BB57" s="1" t="e">
        <f t="shared" si="34"/>
        <v>#N/A</v>
      </c>
    </row>
    <row r="58" spans="1:54" x14ac:dyDescent="0.2">
      <c r="A58" s="1">
        <f>IF(OR(Table1[[#This Row],[Type (TX, RX, TRX, Oscillator)]]="TX", Table1[[#This Row],[Type (TX, RX, TRX, Oscillator)]]="TX FE"),Table1[[#This Row],[Frequency (GHz)]],#N/A)</f>
        <v>140</v>
      </c>
      <c r="B58" s="30">
        <f>IF(OR(Table1[[#This Row],[Type (TX, RX, TRX, Oscillator)]]="TX", Table1[[#This Row],[Type (TX, RX, TRX, Oscillator)]]="TX FE"),DATE(Table1[[#This Row],[Year ]],Table1[[#This Row],[Month]],1),#N/A)</f>
        <v>44044</v>
      </c>
      <c r="C58" s="1">
        <f>IF(OR(Table1[[#This Row],[Type (TX, RX, TRX, Oscillator)]]="TX",Table1[[#This Row],[Type (TX, RX, TRX, Oscillator)]]="TX FE"),Table1[[#This Row],[Total Number of Elements (TX + RX)]],#N/A)</f>
        <v>128</v>
      </c>
      <c r="D58" s="1" t="e">
        <f t="shared" si="0"/>
        <v>#N/A</v>
      </c>
      <c r="E58" s="1" t="e">
        <f t="shared" si="1"/>
        <v>#N/A</v>
      </c>
      <c r="F58" s="1" t="e">
        <f t="shared" si="2"/>
        <v>#N/A</v>
      </c>
      <c r="G58" s="1" t="e">
        <f t="shared" si="3"/>
        <v>#N/A</v>
      </c>
      <c r="H58" s="1">
        <f t="shared" si="4"/>
        <v>128</v>
      </c>
      <c r="I58" s="1" t="e">
        <f t="shared" si="5"/>
        <v>#N/A</v>
      </c>
      <c r="J58" s="1" t="e">
        <f t="shared" si="6"/>
        <v>#N/A</v>
      </c>
      <c r="L58" s="1" t="e">
        <f>IF(OR(Table1[[#This Row],[Type (TX, RX, TRX, Oscillator)]]="RX", Table1[[#This Row],[Type (TX, RX, TRX, Oscillator)]]="RX FE"),Table1[[#This Row],[Frequency (GHz)]],#N/A)</f>
        <v>#N/A</v>
      </c>
      <c r="M58" s="30" t="e">
        <f>IF(OR(Table1[[#This Row],[Type (TX, RX, TRX, Oscillator)]]="RX", Table1[[#This Row],[Type (TX, RX, TRX, Oscillator)]]="RX FE"),DATE(Table1[[#This Row],[Year ]],Table1[[#This Row],[Month]],1),#N/A)</f>
        <v>#N/A</v>
      </c>
      <c r="N58" s="1" t="e">
        <f>IF(OR(Table1[[#This Row],[Type (TX, RX, TRX, Oscillator)]]="RX", Table1[[#This Row],[Type (TX, RX, TRX, Oscillator)]]="RX FE"),Table1[[#This Row],[Total Number of Elements (TX + RX)]],#N/A)</f>
        <v>#N/A</v>
      </c>
      <c r="O58" s="1" t="e">
        <f t="shared" si="7"/>
        <v>#N/A</v>
      </c>
      <c r="P58" s="1" t="e">
        <f t="shared" si="8"/>
        <v>#N/A</v>
      </c>
      <c r="Q58" s="1" t="e">
        <f t="shared" si="9"/>
        <v>#N/A</v>
      </c>
      <c r="R58" s="1" t="e">
        <f t="shared" si="10"/>
        <v>#N/A</v>
      </c>
      <c r="S58" s="1" t="e">
        <f t="shared" si="11"/>
        <v>#N/A</v>
      </c>
      <c r="T58" s="1" t="e">
        <f t="shared" si="12"/>
        <v>#N/A</v>
      </c>
      <c r="U58" s="1" t="e">
        <f t="shared" si="13"/>
        <v>#N/A</v>
      </c>
      <c r="W58" s="1" t="e">
        <f>IF(OR(Table1[[#This Row],[Type (TX, RX, TRX, Oscillator)]]="TRX",Table1[[#This Row],[Type (TX, RX, TRX, Oscillator)]]="TRX FE"),Table1[[#This Row],[Frequency (GHz)]],#N/A)</f>
        <v>#N/A</v>
      </c>
      <c r="X58" s="30" t="e">
        <f>IF(OR(Table1[[#This Row],[Type (TX, RX, TRX, Oscillator)]]="TRX", Table1[[#This Row],[Type (TX, RX, TRX, Oscillator)]]="TRX FE"),DATE(Table1[[#This Row],[Year ]],Table1[[#This Row],[Month]],1),#N/A)</f>
        <v>#N/A</v>
      </c>
      <c r="Y58" s="1" t="e">
        <f>IF(OR(Table1[[#This Row],[Type (TX, RX, TRX, Oscillator)]]="TRX", Table1[[#This Row],[Type (TX, RX, TRX, Oscillator)]]="TRX FE"),Table1[[#This Row],[Total Number of Elements (TX + RX)]],#N/A)</f>
        <v>#N/A</v>
      </c>
      <c r="Z58" s="1" t="e">
        <f t="shared" si="14"/>
        <v>#N/A</v>
      </c>
      <c r="AA58" s="1" t="e">
        <f t="shared" si="15"/>
        <v>#N/A</v>
      </c>
      <c r="AB58" s="1" t="e">
        <f t="shared" si="16"/>
        <v>#N/A</v>
      </c>
      <c r="AC58" s="1" t="e">
        <f t="shared" si="17"/>
        <v>#N/A</v>
      </c>
      <c r="AD58" s="1" t="e">
        <f t="shared" si="18"/>
        <v>#N/A</v>
      </c>
      <c r="AE58" s="1" t="e">
        <f t="shared" si="19"/>
        <v>#N/A</v>
      </c>
      <c r="AF58" s="1" t="e">
        <f t="shared" si="20"/>
        <v>#N/A</v>
      </c>
      <c r="AH58" s="1" t="e">
        <f>IF(Table1[[#This Row],[Type (TX, RX, TRX, Oscillator)]]="Oscillator",Table1[[#This Row],[Frequency (GHz)]],#N/A)</f>
        <v>#N/A</v>
      </c>
      <c r="AI58" s="30" t="e">
        <f>IF(Table1[[#This Row],[Type (TX, RX, TRX, Oscillator)]]="Oscillator",DATE(Table1[[#This Row],[Year ]],Table1[[#This Row],[Month]],1),#N/A)</f>
        <v>#N/A</v>
      </c>
      <c r="AJ58" s="1" t="e">
        <f>IF(Table1[[#This Row],[Type (TX, RX, TRX, Oscillator)]]="Oscillator",Table1[[#This Row],[Total Number of Elements (TX + RX)]],#N/A)</f>
        <v>#N/A</v>
      </c>
      <c r="AK58" s="1" t="e">
        <f t="shared" si="21"/>
        <v>#N/A</v>
      </c>
      <c r="AL58" s="1" t="e">
        <f t="shared" si="22"/>
        <v>#N/A</v>
      </c>
      <c r="AM58" s="1" t="e">
        <f t="shared" si="23"/>
        <v>#N/A</v>
      </c>
      <c r="AN58" s="1" t="e">
        <f t="shared" si="24"/>
        <v>#N/A</v>
      </c>
      <c r="AO58" s="1" t="e">
        <f t="shared" si="25"/>
        <v>#N/A</v>
      </c>
      <c r="AP58" s="1" t="e">
        <f t="shared" si="26"/>
        <v>#N/A</v>
      </c>
      <c r="AQ58" s="1" t="e">
        <f t="shared" si="27"/>
        <v>#N/A</v>
      </c>
      <c r="AS58" s="1" t="e">
        <f>IF(Table1[[#This Row],[Type (TX, RX, TRX, Oscillator)]]="Relay",Table1[[#This Row],[Frequency (GHz)]],#N/A)</f>
        <v>#N/A</v>
      </c>
      <c r="AT58" s="30" t="e">
        <f>IF(Table1[[#This Row],[Type (TX, RX, TRX, Oscillator)]]="Relay",DATE(Table1[[#This Row],[Year ]],Table1[[#This Row],[Month]],1),#N/A)</f>
        <v>#N/A</v>
      </c>
      <c r="AU58" s="1" t="e">
        <f>IF(Table1[[#This Row],[Type (TX, RX, TRX, Oscillator)]]="Relay",Table1[[#This Row],[Total Number of Elements (TX + RX)]],#N/A)</f>
        <v>#N/A</v>
      </c>
      <c r="AV58" s="1" t="e">
        <f t="shared" si="28"/>
        <v>#N/A</v>
      </c>
      <c r="AW58" s="1" t="e">
        <f t="shared" si="29"/>
        <v>#N/A</v>
      </c>
      <c r="AX58" s="1" t="e">
        <f t="shared" si="30"/>
        <v>#N/A</v>
      </c>
      <c r="AY58" s="1" t="e">
        <f t="shared" si="31"/>
        <v>#N/A</v>
      </c>
      <c r="AZ58" s="1" t="e">
        <f t="shared" si="32"/>
        <v>#N/A</v>
      </c>
      <c r="BA58" s="1" t="e">
        <f t="shared" si="33"/>
        <v>#N/A</v>
      </c>
      <c r="BB58" s="1" t="e">
        <f t="shared" si="34"/>
        <v>#N/A</v>
      </c>
    </row>
    <row r="59" spans="1:54" x14ac:dyDescent="0.2">
      <c r="A59" s="1" t="e">
        <f>IF(OR(Table1[[#This Row],[Type (TX, RX, TRX, Oscillator)]]="TX", Table1[[#This Row],[Type (TX, RX, TRX, Oscillator)]]="TX FE"),Table1[[#This Row],[Frequency (GHz)]],#N/A)</f>
        <v>#N/A</v>
      </c>
      <c r="B59" s="30" t="e">
        <f>IF(OR(Table1[[#This Row],[Type (TX, RX, TRX, Oscillator)]]="TX", Table1[[#This Row],[Type (TX, RX, TRX, Oscillator)]]="TX FE"),DATE(Table1[[#This Row],[Year ]],Table1[[#This Row],[Month]],1),#N/A)</f>
        <v>#N/A</v>
      </c>
      <c r="C59" s="1" t="e">
        <f>IF(OR(Table1[[#This Row],[Type (TX, RX, TRX, Oscillator)]]="TX",Table1[[#This Row],[Type (TX, RX, TRX, Oscillator)]]="TX FE"),Table1[[#This Row],[Total Number of Elements (TX + RX)]],#N/A)</f>
        <v>#N/A</v>
      </c>
      <c r="D59" s="1" t="e">
        <f t="shared" si="0"/>
        <v>#N/A</v>
      </c>
      <c r="E59" s="1" t="e">
        <f t="shared" si="1"/>
        <v>#N/A</v>
      </c>
      <c r="F59" s="1" t="e">
        <f t="shared" si="2"/>
        <v>#N/A</v>
      </c>
      <c r="G59" s="1" t="e">
        <f t="shared" si="3"/>
        <v>#N/A</v>
      </c>
      <c r="H59" s="1" t="e">
        <f t="shared" si="4"/>
        <v>#N/A</v>
      </c>
      <c r="I59" s="1" t="e">
        <f t="shared" si="5"/>
        <v>#N/A</v>
      </c>
      <c r="J59" s="1" t="e">
        <f t="shared" si="6"/>
        <v>#N/A</v>
      </c>
      <c r="L59" s="1">
        <f>IF(OR(Table1[[#This Row],[Type (TX, RX, TRX, Oscillator)]]="RX", Table1[[#This Row],[Type (TX, RX, TRX, Oscillator)]]="RX FE"),Table1[[#This Row],[Frequency (GHz)]],#N/A)</f>
        <v>150</v>
      </c>
      <c r="M59" s="30">
        <f>IF(OR(Table1[[#This Row],[Type (TX, RX, TRX, Oscillator)]]="RX", Table1[[#This Row],[Type (TX, RX, TRX, Oscillator)]]="RX FE"),DATE(Table1[[#This Row],[Year ]],Table1[[#This Row],[Month]],1),#N/A)</f>
        <v>44044</v>
      </c>
      <c r="N59" s="1">
        <f>IF(OR(Table1[[#This Row],[Type (TX, RX, TRX, Oscillator)]]="RX", Table1[[#This Row],[Type (TX, RX, TRX, Oscillator)]]="RX FE"),Table1[[#This Row],[Total Number of Elements (TX + RX)]],#N/A)</f>
        <v>128</v>
      </c>
      <c r="O59" s="1" t="e">
        <f t="shared" si="7"/>
        <v>#N/A</v>
      </c>
      <c r="P59" s="1" t="e">
        <f t="shared" si="8"/>
        <v>#N/A</v>
      </c>
      <c r="Q59" s="1" t="e">
        <f t="shared" si="9"/>
        <v>#N/A</v>
      </c>
      <c r="R59" s="1" t="e">
        <f t="shared" si="10"/>
        <v>#N/A</v>
      </c>
      <c r="S59" s="1">
        <f t="shared" si="11"/>
        <v>128</v>
      </c>
      <c r="T59" s="1" t="e">
        <f t="shared" si="12"/>
        <v>#N/A</v>
      </c>
      <c r="U59" s="1" t="e">
        <f t="shared" si="13"/>
        <v>#N/A</v>
      </c>
      <c r="W59" s="1" t="e">
        <f>IF(OR(Table1[[#This Row],[Type (TX, RX, TRX, Oscillator)]]="TRX",Table1[[#This Row],[Type (TX, RX, TRX, Oscillator)]]="TRX FE"),Table1[[#This Row],[Frequency (GHz)]],#N/A)</f>
        <v>#N/A</v>
      </c>
      <c r="X59" s="30" t="e">
        <f>IF(OR(Table1[[#This Row],[Type (TX, RX, TRX, Oscillator)]]="TRX", Table1[[#This Row],[Type (TX, RX, TRX, Oscillator)]]="TRX FE"),DATE(Table1[[#This Row],[Year ]],Table1[[#This Row],[Month]],1),#N/A)</f>
        <v>#N/A</v>
      </c>
      <c r="Y59" s="1" t="e">
        <f>IF(OR(Table1[[#This Row],[Type (TX, RX, TRX, Oscillator)]]="TRX", Table1[[#This Row],[Type (TX, RX, TRX, Oscillator)]]="TRX FE"),Table1[[#This Row],[Total Number of Elements (TX + RX)]],#N/A)</f>
        <v>#N/A</v>
      </c>
      <c r="Z59" s="1" t="e">
        <f t="shared" si="14"/>
        <v>#N/A</v>
      </c>
      <c r="AA59" s="1" t="e">
        <f t="shared" si="15"/>
        <v>#N/A</v>
      </c>
      <c r="AB59" s="1" t="e">
        <f t="shared" si="16"/>
        <v>#N/A</v>
      </c>
      <c r="AC59" s="1" t="e">
        <f t="shared" si="17"/>
        <v>#N/A</v>
      </c>
      <c r="AD59" s="1" t="e">
        <f t="shared" si="18"/>
        <v>#N/A</v>
      </c>
      <c r="AE59" s="1" t="e">
        <f t="shared" si="19"/>
        <v>#N/A</v>
      </c>
      <c r="AF59" s="1" t="e">
        <f t="shared" si="20"/>
        <v>#N/A</v>
      </c>
      <c r="AH59" s="1" t="e">
        <f>IF(Table1[[#This Row],[Type (TX, RX, TRX, Oscillator)]]="Oscillator",Table1[[#This Row],[Frequency (GHz)]],#N/A)</f>
        <v>#N/A</v>
      </c>
      <c r="AI59" s="30" t="e">
        <f>IF(Table1[[#This Row],[Type (TX, RX, TRX, Oscillator)]]="Oscillator",DATE(Table1[[#This Row],[Year ]],Table1[[#This Row],[Month]],1),#N/A)</f>
        <v>#N/A</v>
      </c>
      <c r="AJ59" s="1" t="e">
        <f>IF(Table1[[#This Row],[Type (TX, RX, TRX, Oscillator)]]="Oscillator",Table1[[#This Row],[Total Number of Elements (TX + RX)]],#N/A)</f>
        <v>#N/A</v>
      </c>
      <c r="AK59" s="1" t="e">
        <f t="shared" si="21"/>
        <v>#N/A</v>
      </c>
      <c r="AL59" s="1" t="e">
        <f t="shared" si="22"/>
        <v>#N/A</v>
      </c>
      <c r="AM59" s="1" t="e">
        <f t="shared" si="23"/>
        <v>#N/A</v>
      </c>
      <c r="AN59" s="1" t="e">
        <f t="shared" si="24"/>
        <v>#N/A</v>
      </c>
      <c r="AO59" s="1" t="e">
        <f t="shared" si="25"/>
        <v>#N/A</v>
      </c>
      <c r="AP59" s="1" t="e">
        <f t="shared" si="26"/>
        <v>#N/A</v>
      </c>
      <c r="AQ59" s="1" t="e">
        <f t="shared" si="27"/>
        <v>#N/A</v>
      </c>
      <c r="AS59" s="1" t="e">
        <f>IF(Table1[[#This Row],[Type (TX, RX, TRX, Oscillator)]]="Relay",Table1[[#This Row],[Frequency (GHz)]],#N/A)</f>
        <v>#N/A</v>
      </c>
      <c r="AT59" s="30" t="e">
        <f>IF(Table1[[#This Row],[Type (TX, RX, TRX, Oscillator)]]="Relay",DATE(Table1[[#This Row],[Year ]],Table1[[#This Row],[Month]],1),#N/A)</f>
        <v>#N/A</v>
      </c>
      <c r="AU59" s="1" t="e">
        <f>IF(Table1[[#This Row],[Type (TX, RX, TRX, Oscillator)]]="Relay",Table1[[#This Row],[Total Number of Elements (TX + RX)]],#N/A)</f>
        <v>#N/A</v>
      </c>
      <c r="AV59" s="1" t="e">
        <f t="shared" si="28"/>
        <v>#N/A</v>
      </c>
      <c r="AW59" s="1" t="e">
        <f t="shared" si="29"/>
        <v>#N/A</v>
      </c>
      <c r="AX59" s="1" t="e">
        <f t="shared" si="30"/>
        <v>#N/A</v>
      </c>
      <c r="AY59" s="1" t="e">
        <f t="shared" si="31"/>
        <v>#N/A</v>
      </c>
      <c r="AZ59" s="1" t="e">
        <f t="shared" si="32"/>
        <v>#N/A</v>
      </c>
      <c r="BA59" s="1" t="e">
        <f t="shared" si="33"/>
        <v>#N/A</v>
      </c>
      <c r="BB59" s="1" t="e">
        <f t="shared" si="34"/>
        <v>#N/A</v>
      </c>
    </row>
    <row r="60" spans="1:54" x14ac:dyDescent="0.2">
      <c r="A60" s="1" t="e">
        <f>IF(OR(Table1[[#This Row],[Type (TX, RX, TRX, Oscillator)]]="TX", Table1[[#This Row],[Type (TX, RX, TRX, Oscillator)]]="TX FE"),Table1[[#This Row],[Frequency (GHz)]],#N/A)</f>
        <v>#N/A</v>
      </c>
      <c r="B60" s="30" t="e">
        <f>IF(OR(Table1[[#This Row],[Type (TX, RX, TRX, Oscillator)]]="TX", Table1[[#This Row],[Type (TX, RX, TRX, Oscillator)]]="TX FE"),DATE(Table1[[#This Row],[Year ]],Table1[[#This Row],[Month]],1),#N/A)</f>
        <v>#N/A</v>
      </c>
      <c r="C60" s="1" t="e">
        <f>IF(OR(Table1[[#This Row],[Type (TX, RX, TRX, Oscillator)]]="TX",Table1[[#This Row],[Type (TX, RX, TRX, Oscillator)]]="TX FE"),Table1[[#This Row],[Total Number of Elements (TX + RX)]],#N/A)</f>
        <v>#N/A</v>
      </c>
      <c r="D60" s="1" t="e">
        <f t="shared" si="0"/>
        <v>#N/A</v>
      </c>
      <c r="E60" s="1" t="e">
        <f t="shared" si="1"/>
        <v>#N/A</v>
      </c>
      <c r="F60" s="1" t="e">
        <f t="shared" si="2"/>
        <v>#N/A</v>
      </c>
      <c r="G60" s="1" t="e">
        <f t="shared" si="3"/>
        <v>#N/A</v>
      </c>
      <c r="H60" s="1" t="e">
        <f t="shared" si="4"/>
        <v>#N/A</v>
      </c>
      <c r="I60" s="1" t="e">
        <f t="shared" si="5"/>
        <v>#N/A</v>
      </c>
      <c r="J60" s="1" t="e">
        <f t="shared" si="6"/>
        <v>#N/A</v>
      </c>
      <c r="L60" s="1" t="e">
        <f>IF(OR(Table1[[#This Row],[Type (TX, RX, TRX, Oscillator)]]="RX", Table1[[#This Row],[Type (TX, RX, TRX, Oscillator)]]="RX FE"),Table1[[#This Row],[Frequency (GHz)]],#N/A)</f>
        <v>#N/A</v>
      </c>
      <c r="M60" s="30" t="e">
        <f>IF(OR(Table1[[#This Row],[Type (TX, RX, TRX, Oscillator)]]="RX", Table1[[#This Row],[Type (TX, RX, TRX, Oscillator)]]="RX FE"),DATE(Table1[[#This Row],[Year ]],Table1[[#This Row],[Month]],1),#N/A)</f>
        <v>#N/A</v>
      </c>
      <c r="N60" s="1" t="e">
        <f>IF(OR(Table1[[#This Row],[Type (TX, RX, TRX, Oscillator)]]="RX", Table1[[#This Row],[Type (TX, RX, TRX, Oscillator)]]="RX FE"),Table1[[#This Row],[Total Number of Elements (TX + RX)]],#N/A)</f>
        <v>#N/A</v>
      </c>
      <c r="O60" s="1" t="e">
        <f t="shared" si="7"/>
        <v>#N/A</v>
      </c>
      <c r="P60" s="1" t="e">
        <f t="shared" si="8"/>
        <v>#N/A</v>
      </c>
      <c r="Q60" s="1" t="e">
        <f t="shared" si="9"/>
        <v>#N/A</v>
      </c>
      <c r="R60" s="1" t="e">
        <f t="shared" si="10"/>
        <v>#N/A</v>
      </c>
      <c r="S60" s="1" t="e">
        <f t="shared" si="11"/>
        <v>#N/A</v>
      </c>
      <c r="T60" s="1" t="e">
        <f t="shared" si="12"/>
        <v>#N/A</v>
      </c>
      <c r="U60" s="1" t="e">
        <f t="shared" si="13"/>
        <v>#N/A</v>
      </c>
      <c r="W60" s="1">
        <f>IF(OR(Table1[[#This Row],[Type (TX, RX, TRX, Oscillator)]]="TRX",Table1[[#This Row],[Type (TX, RX, TRX, Oscillator)]]="TRX FE"),Table1[[#This Row],[Frequency (GHz)]],#N/A)</f>
        <v>28</v>
      </c>
      <c r="X60" s="30">
        <f>IF(OR(Table1[[#This Row],[Type (TX, RX, TRX, Oscillator)]]="TRX", Table1[[#This Row],[Type (TX, RX, TRX, Oscillator)]]="TRX FE"),DATE(Table1[[#This Row],[Year ]],Table1[[#This Row],[Month]],1),#N/A)</f>
        <v>44075</v>
      </c>
      <c r="Y60" s="1">
        <f>IF(OR(Table1[[#This Row],[Type (TX, RX, TRX, Oscillator)]]="TRX", Table1[[#This Row],[Type (TX, RX, TRX, Oscillator)]]="TRX FE"),Table1[[#This Row],[Total Number of Elements (TX + RX)]],#N/A)</f>
        <v>128</v>
      </c>
      <c r="Z60" s="1" t="e">
        <f t="shared" si="14"/>
        <v>#N/A</v>
      </c>
      <c r="AA60" s="1">
        <f t="shared" si="15"/>
        <v>128</v>
      </c>
      <c r="AB60" s="1" t="e">
        <f t="shared" si="16"/>
        <v>#N/A</v>
      </c>
      <c r="AC60" s="1" t="e">
        <f t="shared" si="17"/>
        <v>#N/A</v>
      </c>
      <c r="AD60" s="1" t="e">
        <f t="shared" si="18"/>
        <v>#N/A</v>
      </c>
      <c r="AE60" s="1" t="e">
        <f t="shared" si="19"/>
        <v>#N/A</v>
      </c>
      <c r="AF60" s="1" t="e">
        <f t="shared" si="20"/>
        <v>#N/A</v>
      </c>
      <c r="AH60" s="1" t="e">
        <f>IF(Table1[[#This Row],[Type (TX, RX, TRX, Oscillator)]]="Oscillator",Table1[[#This Row],[Frequency (GHz)]],#N/A)</f>
        <v>#N/A</v>
      </c>
      <c r="AI60" s="30" t="e">
        <f>IF(Table1[[#This Row],[Type (TX, RX, TRX, Oscillator)]]="Oscillator",DATE(Table1[[#This Row],[Year ]],Table1[[#This Row],[Month]],1),#N/A)</f>
        <v>#N/A</v>
      </c>
      <c r="AJ60" s="1" t="e">
        <f>IF(Table1[[#This Row],[Type (TX, RX, TRX, Oscillator)]]="Oscillator",Table1[[#This Row],[Total Number of Elements (TX + RX)]],#N/A)</f>
        <v>#N/A</v>
      </c>
      <c r="AK60" s="1" t="e">
        <f t="shared" si="21"/>
        <v>#N/A</v>
      </c>
      <c r="AL60" s="1" t="e">
        <f t="shared" si="22"/>
        <v>#N/A</v>
      </c>
      <c r="AM60" s="1" t="e">
        <f t="shared" si="23"/>
        <v>#N/A</v>
      </c>
      <c r="AN60" s="1" t="e">
        <f t="shared" si="24"/>
        <v>#N/A</v>
      </c>
      <c r="AO60" s="1" t="e">
        <f t="shared" si="25"/>
        <v>#N/A</v>
      </c>
      <c r="AP60" s="1" t="e">
        <f t="shared" si="26"/>
        <v>#N/A</v>
      </c>
      <c r="AQ60" s="1" t="e">
        <f t="shared" si="27"/>
        <v>#N/A</v>
      </c>
      <c r="AS60" s="1" t="e">
        <f>IF(Table1[[#This Row],[Type (TX, RX, TRX, Oscillator)]]="Relay",Table1[[#This Row],[Frequency (GHz)]],#N/A)</f>
        <v>#N/A</v>
      </c>
      <c r="AT60" s="30" t="e">
        <f>IF(Table1[[#This Row],[Type (TX, RX, TRX, Oscillator)]]="Relay",DATE(Table1[[#This Row],[Year ]],Table1[[#This Row],[Month]],1),#N/A)</f>
        <v>#N/A</v>
      </c>
      <c r="AU60" s="1" t="e">
        <f>IF(Table1[[#This Row],[Type (TX, RX, TRX, Oscillator)]]="Relay",Table1[[#This Row],[Total Number of Elements (TX + RX)]],#N/A)</f>
        <v>#N/A</v>
      </c>
      <c r="AV60" s="1" t="e">
        <f t="shared" si="28"/>
        <v>#N/A</v>
      </c>
      <c r="AW60" s="1" t="e">
        <f t="shared" si="29"/>
        <v>#N/A</v>
      </c>
      <c r="AX60" s="1" t="e">
        <f t="shared" si="30"/>
        <v>#N/A</v>
      </c>
      <c r="AY60" s="1" t="e">
        <f t="shared" si="31"/>
        <v>#N/A</v>
      </c>
      <c r="AZ60" s="1" t="e">
        <f t="shared" si="32"/>
        <v>#N/A</v>
      </c>
      <c r="BA60" s="1" t="e">
        <f t="shared" si="33"/>
        <v>#N/A</v>
      </c>
      <c r="BB60" s="1" t="e">
        <f t="shared" si="34"/>
        <v>#N/A</v>
      </c>
    </row>
    <row r="61" spans="1:54" x14ac:dyDescent="0.2">
      <c r="A61" s="1" t="e">
        <f>IF(OR(Table1[[#This Row],[Type (TX, RX, TRX, Oscillator)]]="TX", Table1[[#This Row],[Type (TX, RX, TRX, Oscillator)]]="TX FE"),Table1[[#This Row],[Frequency (GHz)]],#N/A)</f>
        <v>#N/A</v>
      </c>
      <c r="B61" s="30" t="e">
        <f>IF(OR(Table1[[#This Row],[Type (TX, RX, TRX, Oscillator)]]="TX", Table1[[#This Row],[Type (TX, RX, TRX, Oscillator)]]="TX FE"),DATE(Table1[[#This Row],[Year ]],Table1[[#This Row],[Month]],1),#N/A)</f>
        <v>#N/A</v>
      </c>
      <c r="C61" s="1" t="e">
        <f>IF(OR(Table1[[#This Row],[Type (TX, RX, TRX, Oscillator)]]="TX",Table1[[#This Row],[Type (TX, RX, TRX, Oscillator)]]="TX FE"),Table1[[#This Row],[Total Number of Elements (TX + RX)]],#N/A)</f>
        <v>#N/A</v>
      </c>
      <c r="D61" s="1" t="e">
        <f t="shared" si="0"/>
        <v>#N/A</v>
      </c>
      <c r="E61" s="1" t="e">
        <f t="shared" si="1"/>
        <v>#N/A</v>
      </c>
      <c r="F61" s="1" t="e">
        <f t="shared" si="2"/>
        <v>#N/A</v>
      </c>
      <c r="G61" s="1" t="e">
        <f t="shared" si="3"/>
        <v>#N/A</v>
      </c>
      <c r="H61" s="1" t="e">
        <f t="shared" si="4"/>
        <v>#N/A</v>
      </c>
      <c r="I61" s="1" t="e">
        <f t="shared" si="5"/>
        <v>#N/A</v>
      </c>
      <c r="J61" s="1" t="e">
        <f t="shared" si="6"/>
        <v>#N/A</v>
      </c>
      <c r="L61" s="1" t="e">
        <f>IF(OR(Table1[[#This Row],[Type (TX, RX, TRX, Oscillator)]]="RX", Table1[[#This Row],[Type (TX, RX, TRX, Oscillator)]]="RX FE"),Table1[[#This Row],[Frequency (GHz)]],#N/A)</f>
        <v>#N/A</v>
      </c>
      <c r="M61" s="30" t="e">
        <f>IF(OR(Table1[[#This Row],[Type (TX, RX, TRX, Oscillator)]]="RX", Table1[[#This Row],[Type (TX, RX, TRX, Oscillator)]]="RX FE"),DATE(Table1[[#This Row],[Year ]],Table1[[#This Row],[Month]],1),#N/A)</f>
        <v>#N/A</v>
      </c>
      <c r="N61" s="1" t="e">
        <f>IF(OR(Table1[[#This Row],[Type (TX, RX, TRX, Oscillator)]]="RX", Table1[[#This Row],[Type (TX, RX, TRX, Oscillator)]]="RX FE"),Table1[[#This Row],[Total Number of Elements (TX + RX)]],#N/A)</f>
        <v>#N/A</v>
      </c>
      <c r="O61" s="1" t="e">
        <f t="shared" si="7"/>
        <v>#N/A</v>
      </c>
      <c r="P61" s="1" t="e">
        <f t="shared" si="8"/>
        <v>#N/A</v>
      </c>
      <c r="Q61" s="1" t="e">
        <f t="shared" si="9"/>
        <v>#N/A</v>
      </c>
      <c r="R61" s="1" t="e">
        <f t="shared" si="10"/>
        <v>#N/A</v>
      </c>
      <c r="S61" s="1" t="e">
        <f t="shared" si="11"/>
        <v>#N/A</v>
      </c>
      <c r="T61" s="1" t="e">
        <f t="shared" si="12"/>
        <v>#N/A</v>
      </c>
      <c r="U61" s="1" t="e">
        <f t="shared" si="13"/>
        <v>#N/A</v>
      </c>
      <c r="W61" s="1">
        <f>IF(OR(Table1[[#This Row],[Type (TX, RX, TRX, Oscillator)]]="TRX",Table1[[#This Row],[Type (TX, RX, TRX, Oscillator)]]="TRX FE"),Table1[[#This Row],[Frequency (GHz)]],#N/A)</f>
        <v>28</v>
      </c>
      <c r="X61" s="30">
        <f>IF(OR(Table1[[#This Row],[Type (TX, RX, TRX, Oscillator)]]="TRX", Table1[[#This Row],[Type (TX, RX, TRX, Oscillator)]]="TRX FE"),DATE(Table1[[#This Row],[Year ]],Table1[[#This Row],[Month]],1),#N/A)</f>
        <v>44197</v>
      </c>
      <c r="Y61" s="1">
        <f>IF(OR(Table1[[#This Row],[Type (TX, RX, TRX, Oscillator)]]="TRX", Table1[[#This Row],[Type (TX, RX, TRX, Oscillator)]]="TRX FE"),Table1[[#This Row],[Total Number of Elements (TX + RX)]],#N/A)</f>
        <v>128</v>
      </c>
      <c r="Z61" s="1" t="e">
        <f t="shared" si="14"/>
        <v>#N/A</v>
      </c>
      <c r="AA61" s="1">
        <f t="shared" si="15"/>
        <v>128</v>
      </c>
      <c r="AB61" s="1" t="e">
        <f t="shared" si="16"/>
        <v>#N/A</v>
      </c>
      <c r="AC61" s="1" t="e">
        <f t="shared" si="17"/>
        <v>#N/A</v>
      </c>
      <c r="AD61" s="1" t="e">
        <f t="shared" si="18"/>
        <v>#N/A</v>
      </c>
      <c r="AE61" s="1" t="e">
        <f t="shared" si="19"/>
        <v>#N/A</v>
      </c>
      <c r="AF61" s="1" t="e">
        <f t="shared" si="20"/>
        <v>#N/A</v>
      </c>
      <c r="AH61" s="1" t="e">
        <f>IF(Table1[[#This Row],[Type (TX, RX, TRX, Oscillator)]]="Oscillator",Table1[[#This Row],[Frequency (GHz)]],#N/A)</f>
        <v>#N/A</v>
      </c>
      <c r="AI61" s="30" t="e">
        <f>IF(Table1[[#This Row],[Type (TX, RX, TRX, Oscillator)]]="Oscillator",DATE(Table1[[#This Row],[Year ]],Table1[[#This Row],[Month]],1),#N/A)</f>
        <v>#N/A</v>
      </c>
      <c r="AJ61" s="1" t="e">
        <f>IF(Table1[[#This Row],[Type (TX, RX, TRX, Oscillator)]]="Oscillator",Table1[[#This Row],[Total Number of Elements (TX + RX)]],#N/A)</f>
        <v>#N/A</v>
      </c>
      <c r="AK61" s="1" t="e">
        <f t="shared" si="21"/>
        <v>#N/A</v>
      </c>
      <c r="AL61" s="1" t="e">
        <f t="shared" si="22"/>
        <v>#N/A</v>
      </c>
      <c r="AM61" s="1" t="e">
        <f t="shared" si="23"/>
        <v>#N/A</v>
      </c>
      <c r="AN61" s="1" t="e">
        <f t="shared" si="24"/>
        <v>#N/A</v>
      </c>
      <c r="AO61" s="1" t="e">
        <f t="shared" si="25"/>
        <v>#N/A</v>
      </c>
      <c r="AP61" s="1" t="e">
        <f t="shared" si="26"/>
        <v>#N/A</v>
      </c>
      <c r="AQ61" s="1" t="e">
        <f t="shared" si="27"/>
        <v>#N/A</v>
      </c>
      <c r="AS61" s="1" t="e">
        <f>IF(Table1[[#This Row],[Type (TX, RX, TRX, Oscillator)]]="Relay",Table1[[#This Row],[Frequency (GHz)]],#N/A)</f>
        <v>#N/A</v>
      </c>
      <c r="AT61" s="30" t="e">
        <f>IF(Table1[[#This Row],[Type (TX, RX, TRX, Oscillator)]]="Relay",DATE(Table1[[#This Row],[Year ]],Table1[[#This Row],[Month]],1),#N/A)</f>
        <v>#N/A</v>
      </c>
      <c r="AU61" s="1" t="e">
        <f>IF(Table1[[#This Row],[Type (TX, RX, TRX, Oscillator)]]="Relay",Table1[[#This Row],[Total Number of Elements (TX + RX)]],#N/A)</f>
        <v>#N/A</v>
      </c>
      <c r="AV61" s="1" t="e">
        <f t="shared" si="28"/>
        <v>#N/A</v>
      </c>
      <c r="AW61" s="1" t="e">
        <f t="shared" si="29"/>
        <v>#N/A</v>
      </c>
      <c r="AX61" s="1" t="e">
        <f t="shared" si="30"/>
        <v>#N/A</v>
      </c>
      <c r="AY61" s="1" t="e">
        <f t="shared" si="31"/>
        <v>#N/A</v>
      </c>
      <c r="AZ61" s="1" t="e">
        <f t="shared" si="32"/>
        <v>#N/A</v>
      </c>
      <c r="BA61" s="1" t="e">
        <f t="shared" si="33"/>
        <v>#N/A</v>
      </c>
      <c r="BB61" s="1" t="e">
        <f t="shared" si="34"/>
        <v>#N/A</v>
      </c>
    </row>
    <row r="62" spans="1:54" x14ac:dyDescent="0.2">
      <c r="A62" s="1" t="e">
        <f>IF(OR(Table1[[#This Row],[Type (TX, RX, TRX, Oscillator)]]="TX", Table1[[#This Row],[Type (TX, RX, TRX, Oscillator)]]="TX FE"),Table1[[#This Row],[Frequency (GHz)]],#N/A)</f>
        <v>#N/A</v>
      </c>
      <c r="B62" s="30" t="e">
        <f>IF(OR(Table1[[#This Row],[Type (TX, RX, TRX, Oscillator)]]="TX", Table1[[#This Row],[Type (TX, RX, TRX, Oscillator)]]="TX FE"),DATE(Table1[[#This Row],[Year ]],Table1[[#This Row],[Month]],1),#N/A)</f>
        <v>#N/A</v>
      </c>
      <c r="C62" s="1" t="e">
        <f>IF(OR(Table1[[#This Row],[Type (TX, RX, TRX, Oscillator)]]="TX",Table1[[#This Row],[Type (TX, RX, TRX, Oscillator)]]="TX FE"),Table1[[#This Row],[Total Number of Elements (TX + RX)]],#N/A)</f>
        <v>#N/A</v>
      </c>
      <c r="D62" s="1" t="e">
        <f t="shared" si="0"/>
        <v>#N/A</v>
      </c>
      <c r="E62" s="1" t="e">
        <f t="shared" si="1"/>
        <v>#N/A</v>
      </c>
      <c r="F62" s="1" t="e">
        <f t="shared" si="2"/>
        <v>#N/A</v>
      </c>
      <c r="G62" s="1" t="e">
        <f t="shared" si="3"/>
        <v>#N/A</v>
      </c>
      <c r="H62" s="1" t="e">
        <f t="shared" si="4"/>
        <v>#N/A</v>
      </c>
      <c r="I62" s="1" t="e">
        <f t="shared" si="5"/>
        <v>#N/A</v>
      </c>
      <c r="J62" s="1" t="e">
        <f t="shared" si="6"/>
        <v>#N/A</v>
      </c>
      <c r="L62" s="1" t="e">
        <f>IF(OR(Table1[[#This Row],[Type (TX, RX, TRX, Oscillator)]]="RX", Table1[[#This Row],[Type (TX, RX, TRX, Oscillator)]]="RX FE"),Table1[[#This Row],[Frequency (GHz)]],#N/A)</f>
        <v>#N/A</v>
      </c>
      <c r="M62" s="30" t="e">
        <f>IF(OR(Table1[[#This Row],[Type (TX, RX, TRX, Oscillator)]]="RX", Table1[[#This Row],[Type (TX, RX, TRX, Oscillator)]]="RX FE"),DATE(Table1[[#This Row],[Year ]],Table1[[#This Row],[Month]],1),#N/A)</f>
        <v>#N/A</v>
      </c>
      <c r="N62" s="1" t="e">
        <f>IF(OR(Table1[[#This Row],[Type (TX, RX, TRX, Oscillator)]]="RX", Table1[[#This Row],[Type (TX, RX, TRX, Oscillator)]]="RX FE"),Table1[[#This Row],[Total Number of Elements (TX + RX)]],#N/A)</f>
        <v>#N/A</v>
      </c>
      <c r="O62" s="1" t="e">
        <f t="shared" si="7"/>
        <v>#N/A</v>
      </c>
      <c r="P62" s="1" t="e">
        <f t="shared" si="8"/>
        <v>#N/A</v>
      </c>
      <c r="Q62" s="1" t="e">
        <f t="shared" si="9"/>
        <v>#N/A</v>
      </c>
      <c r="R62" s="1" t="e">
        <f t="shared" si="10"/>
        <v>#N/A</v>
      </c>
      <c r="S62" s="1" t="e">
        <f t="shared" si="11"/>
        <v>#N/A</v>
      </c>
      <c r="T62" s="1" t="e">
        <f t="shared" si="12"/>
        <v>#N/A</v>
      </c>
      <c r="U62" s="1" t="e">
        <f t="shared" si="13"/>
        <v>#N/A</v>
      </c>
      <c r="W62" s="1">
        <f>IF(OR(Table1[[#This Row],[Type (TX, RX, TRX, Oscillator)]]="TRX",Table1[[#This Row],[Type (TX, RX, TRX, Oscillator)]]="TRX FE"),Table1[[#This Row],[Frequency (GHz)]],#N/A)</f>
        <v>29.5</v>
      </c>
      <c r="X62" s="30">
        <f>IF(OR(Table1[[#This Row],[Type (TX, RX, TRX, Oscillator)]]="TRX", Table1[[#This Row],[Type (TX, RX, TRX, Oscillator)]]="TRX FE"),DATE(Table1[[#This Row],[Year ]],Table1[[#This Row],[Month]],1),#N/A)</f>
        <v>44197</v>
      </c>
      <c r="Y62" s="1">
        <f>IF(OR(Table1[[#This Row],[Type (TX, RX, TRX, Oscillator)]]="TRX", Table1[[#This Row],[Type (TX, RX, TRX, Oscillator)]]="TRX FE"),Table1[[#This Row],[Total Number of Elements (TX + RX)]],#N/A)</f>
        <v>128</v>
      </c>
      <c r="Z62" s="1" t="e">
        <f t="shared" si="14"/>
        <v>#N/A</v>
      </c>
      <c r="AA62" s="1">
        <f t="shared" si="15"/>
        <v>128</v>
      </c>
      <c r="AB62" s="1" t="e">
        <f t="shared" si="16"/>
        <v>#N/A</v>
      </c>
      <c r="AC62" s="1" t="e">
        <f t="shared" si="17"/>
        <v>#N/A</v>
      </c>
      <c r="AD62" s="1" t="e">
        <f t="shared" si="18"/>
        <v>#N/A</v>
      </c>
      <c r="AE62" s="1" t="e">
        <f t="shared" si="19"/>
        <v>#N/A</v>
      </c>
      <c r="AF62" s="1" t="e">
        <f t="shared" si="20"/>
        <v>#N/A</v>
      </c>
      <c r="AH62" s="1" t="e">
        <f>IF(Table1[[#This Row],[Type (TX, RX, TRX, Oscillator)]]="Oscillator",Table1[[#This Row],[Frequency (GHz)]],#N/A)</f>
        <v>#N/A</v>
      </c>
      <c r="AI62" s="30" t="e">
        <f>IF(Table1[[#This Row],[Type (TX, RX, TRX, Oscillator)]]="Oscillator",DATE(Table1[[#This Row],[Year ]],Table1[[#This Row],[Month]],1),#N/A)</f>
        <v>#N/A</v>
      </c>
      <c r="AJ62" s="1" t="e">
        <f>IF(Table1[[#This Row],[Type (TX, RX, TRX, Oscillator)]]="Oscillator",Table1[[#This Row],[Total Number of Elements (TX + RX)]],#N/A)</f>
        <v>#N/A</v>
      </c>
      <c r="AK62" s="1" t="e">
        <f t="shared" si="21"/>
        <v>#N/A</v>
      </c>
      <c r="AL62" s="1" t="e">
        <f t="shared" si="22"/>
        <v>#N/A</v>
      </c>
      <c r="AM62" s="1" t="e">
        <f t="shared" si="23"/>
        <v>#N/A</v>
      </c>
      <c r="AN62" s="1" t="e">
        <f t="shared" si="24"/>
        <v>#N/A</v>
      </c>
      <c r="AO62" s="1" t="e">
        <f t="shared" si="25"/>
        <v>#N/A</v>
      </c>
      <c r="AP62" s="1" t="e">
        <f t="shared" si="26"/>
        <v>#N/A</v>
      </c>
      <c r="AQ62" s="1" t="e">
        <f t="shared" si="27"/>
        <v>#N/A</v>
      </c>
      <c r="AS62" s="1" t="e">
        <f>IF(Table1[[#This Row],[Type (TX, RX, TRX, Oscillator)]]="Relay",Table1[[#This Row],[Frequency (GHz)]],#N/A)</f>
        <v>#N/A</v>
      </c>
      <c r="AT62" s="30" t="e">
        <f>IF(Table1[[#This Row],[Type (TX, RX, TRX, Oscillator)]]="Relay",DATE(Table1[[#This Row],[Year ]],Table1[[#This Row],[Month]],1),#N/A)</f>
        <v>#N/A</v>
      </c>
      <c r="AU62" s="1" t="e">
        <f>IF(Table1[[#This Row],[Type (TX, RX, TRX, Oscillator)]]="Relay",Table1[[#This Row],[Total Number of Elements (TX + RX)]],#N/A)</f>
        <v>#N/A</v>
      </c>
      <c r="AV62" s="1" t="e">
        <f t="shared" si="28"/>
        <v>#N/A</v>
      </c>
      <c r="AW62" s="1" t="e">
        <f t="shared" si="29"/>
        <v>#N/A</v>
      </c>
      <c r="AX62" s="1" t="e">
        <f t="shared" si="30"/>
        <v>#N/A</v>
      </c>
      <c r="AY62" s="1" t="e">
        <f t="shared" si="31"/>
        <v>#N/A</v>
      </c>
      <c r="AZ62" s="1" t="e">
        <f t="shared" si="32"/>
        <v>#N/A</v>
      </c>
      <c r="BA62" s="1" t="e">
        <f t="shared" si="33"/>
        <v>#N/A</v>
      </c>
      <c r="BB62" s="1" t="e">
        <f t="shared" si="34"/>
        <v>#N/A</v>
      </c>
    </row>
    <row r="63" spans="1:54" x14ac:dyDescent="0.2">
      <c r="A63" s="1">
        <f>IF(OR(Table1[[#This Row],[Type (TX, RX, TRX, Oscillator)]]="TX", Table1[[#This Row],[Type (TX, RX, TRX, Oscillator)]]="TX FE"),Table1[[#This Row],[Frequency (GHz)]],#N/A)</f>
        <v>420</v>
      </c>
      <c r="B63" s="30">
        <f>IF(OR(Table1[[#This Row],[Type (TX, RX, TRX, Oscillator)]]="TX", Table1[[#This Row],[Type (TX, RX, TRX, Oscillator)]]="TX FE"),DATE(Table1[[#This Row],[Year ]],Table1[[#This Row],[Month]],1),#N/A)</f>
        <v>44228</v>
      </c>
      <c r="C63" s="1">
        <f>IF(OR(Table1[[#This Row],[Type (TX, RX, TRX, Oscillator)]]="TX",Table1[[#This Row],[Type (TX, RX, TRX, Oscillator)]]="TX FE"),Table1[[#This Row],[Total Number of Elements (TX + RX)]],#N/A)</f>
        <v>1</v>
      </c>
      <c r="D63" s="1" t="e">
        <f t="shared" si="0"/>
        <v>#N/A</v>
      </c>
      <c r="E63" s="1" t="e">
        <f t="shared" si="1"/>
        <v>#N/A</v>
      </c>
      <c r="F63" s="1" t="e">
        <f t="shared" si="2"/>
        <v>#N/A</v>
      </c>
      <c r="G63" s="1" t="e">
        <f t="shared" si="3"/>
        <v>#N/A</v>
      </c>
      <c r="H63" s="1" t="e">
        <f t="shared" si="4"/>
        <v>#N/A</v>
      </c>
      <c r="I63" s="1" t="e">
        <f t="shared" si="5"/>
        <v>#N/A</v>
      </c>
      <c r="J63" s="1">
        <f t="shared" si="6"/>
        <v>1</v>
      </c>
      <c r="L63" s="1" t="e">
        <f>IF(OR(Table1[[#This Row],[Type (TX, RX, TRX, Oscillator)]]="RX", Table1[[#This Row],[Type (TX, RX, TRX, Oscillator)]]="RX FE"),Table1[[#This Row],[Frequency (GHz)]],#N/A)</f>
        <v>#N/A</v>
      </c>
      <c r="M63" s="30" t="e">
        <f>IF(OR(Table1[[#This Row],[Type (TX, RX, TRX, Oscillator)]]="RX", Table1[[#This Row],[Type (TX, RX, TRX, Oscillator)]]="RX FE"),DATE(Table1[[#This Row],[Year ]],Table1[[#This Row],[Month]],1),#N/A)</f>
        <v>#N/A</v>
      </c>
      <c r="N63" s="1" t="e">
        <f>IF(OR(Table1[[#This Row],[Type (TX, RX, TRX, Oscillator)]]="RX", Table1[[#This Row],[Type (TX, RX, TRX, Oscillator)]]="RX FE"),Table1[[#This Row],[Total Number of Elements (TX + RX)]],#N/A)</f>
        <v>#N/A</v>
      </c>
      <c r="O63" s="1" t="e">
        <f t="shared" si="7"/>
        <v>#N/A</v>
      </c>
      <c r="P63" s="1" t="e">
        <f t="shared" si="8"/>
        <v>#N/A</v>
      </c>
      <c r="Q63" s="1" t="e">
        <f t="shared" si="9"/>
        <v>#N/A</v>
      </c>
      <c r="R63" s="1" t="e">
        <f t="shared" si="10"/>
        <v>#N/A</v>
      </c>
      <c r="S63" s="1" t="e">
        <f t="shared" si="11"/>
        <v>#N/A</v>
      </c>
      <c r="T63" s="1" t="e">
        <f t="shared" si="12"/>
        <v>#N/A</v>
      </c>
      <c r="U63" s="1" t="e">
        <f t="shared" si="13"/>
        <v>#N/A</v>
      </c>
      <c r="W63" s="1" t="e">
        <f>IF(OR(Table1[[#This Row],[Type (TX, RX, TRX, Oscillator)]]="TRX",Table1[[#This Row],[Type (TX, RX, TRX, Oscillator)]]="TRX FE"),Table1[[#This Row],[Frequency (GHz)]],#N/A)</f>
        <v>#N/A</v>
      </c>
      <c r="X63" s="30" t="e">
        <f>IF(OR(Table1[[#This Row],[Type (TX, RX, TRX, Oscillator)]]="TRX", Table1[[#This Row],[Type (TX, RX, TRX, Oscillator)]]="TRX FE"),DATE(Table1[[#This Row],[Year ]],Table1[[#This Row],[Month]],1),#N/A)</f>
        <v>#N/A</v>
      </c>
      <c r="Y63" s="1" t="e">
        <f>IF(OR(Table1[[#This Row],[Type (TX, RX, TRX, Oscillator)]]="TRX", Table1[[#This Row],[Type (TX, RX, TRX, Oscillator)]]="TRX FE"),Table1[[#This Row],[Total Number of Elements (TX + RX)]],#N/A)</f>
        <v>#N/A</v>
      </c>
      <c r="Z63" s="1" t="e">
        <f t="shared" si="14"/>
        <v>#N/A</v>
      </c>
      <c r="AA63" s="1" t="e">
        <f t="shared" si="15"/>
        <v>#N/A</v>
      </c>
      <c r="AB63" s="1" t="e">
        <f t="shared" si="16"/>
        <v>#N/A</v>
      </c>
      <c r="AC63" s="1" t="e">
        <f t="shared" si="17"/>
        <v>#N/A</v>
      </c>
      <c r="AD63" s="1" t="e">
        <f t="shared" si="18"/>
        <v>#N/A</v>
      </c>
      <c r="AE63" s="1" t="e">
        <f t="shared" si="19"/>
        <v>#N/A</v>
      </c>
      <c r="AF63" s="1" t="e">
        <f t="shared" si="20"/>
        <v>#N/A</v>
      </c>
      <c r="AH63" s="1" t="e">
        <f>IF(Table1[[#This Row],[Type (TX, RX, TRX, Oscillator)]]="Oscillator",Table1[[#This Row],[Frequency (GHz)]],#N/A)</f>
        <v>#N/A</v>
      </c>
      <c r="AI63" s="30" t="e">
        <f>IF(Table1[[#This Row],[Type (TX, RX, TRX, Oscillator)]]="Oscillator",DATE(Table1[[#This Row],[Year ]],Table1[[#This Row],[Month]],1),#N/A)</f>
        <v>#N/A</v>
      </c>
      <c r="AJ63" s="1" t="e">
        <f>IF(Table1[[#This Row],[Type (TX, RX, TRX, Oscillator)]]="Oscillator",Table1[[#This Row],[Total Number of Elements (TX + RX)]],#N/A)</f>
        <v>#N/A</v>
      </c>
      <c r="AK63" s="1" t="e">
        <f t="shared" si="21"/>
        <v>#N/A</v>
      </c>
      <c r="AL63" s="1" t="e">
        <f t="shared" si="22"/>
        <v>#N/A</v>
      </c>
      <c r="AM63" s="1" t="e">
        <f t="shared" si="23"/>
        <v>#N/A</v>
      </c>
      <c r="AN63" s="1" t="e">
        <f t="shared" si="24"/>
        <v>#N/A</v>
      </c>
      <c r="AO63" s="1" t="e">
        <f t="shared" si="25"/>
        <v>#N/A</v>
      </c>
      <c r="AP63" s="1" t="e">
        <f t="shared" si="26"/>
        <v>#N/A</v>
      </c>
      <c r="AQ63" s="1" t="e">
        <f t="shared" si="27"/>
        <v>#N/A</v>
      </c>
      <c r="AS63" s="1" t="e">
        <f>IF(Table1[[#This Row],[Type (TX, RX, TRX, Oscillator)]]="Relay",Table1[[#This Row],[Frequency (GHz)]],#N/A)</f>
        <v>#N/A</v>
      </c>
      <c r="AT63" s="30" t="e">
        <f>IF(Table1[[#This Row],[Type (TX, RX, TRX, Oscillator)]]="Relay",DATE(Table1[[#This Row],[Year ]],Table1[[#This Row],[Month]],1),#N/A)</f>
        <v>#N/A</v>
      </c>
      <c r="AU63" s="1" t="e">
        <f>IF(Table1[[#This Row],[Type (TX, RX, TRX, Oscillator)]]="Relay",Table1[[#This Row],[Total Number of Elements (TX + RX)]],#N/A)</f>
        <v>#N/A</v>
      </c>
      <c r="AV63" s="1" t="e">
        <f t="shared" si="28"/>
        <v>#N/A</v>
      </c>
      <c r="AW63" s="1" t="e">
        <f t="shared" si="29"/>
        <v>#N/A</v>
      </c>
      <c r="AX63" s="1" t="e">
        <f t="shared" si="30"/>
        <v>#N/A</v>
      </c>
      <c r="AY63" s="1" t="e">
        <f t="shared" si="31"/>
        <v>#N/A</v>
      </c>
      <c r="AZ63" s="1" t="e">
        <f t="shared" si="32"/>
        <v>#N/A</v>
      </c>
      <c r="BA63" s="1" t="e">
        <f t="shared" si="33"/>
        <v>#N/A</v>
      </c>
      <c r="BB63" s="1" t="e">
        <f t="shared" si="34"/>
        <v>#N/A</v>
      </c>
    </row>
    <row r="64" spans="1:54" x14ac:dyDescent="0.2">
      <c r="A64" s="1" t="e">
        <f>IF(OR(Table1[[#This Row],[Type (TX, RX, TRX, Oscillator)]]="TX", Table1[[#This Row],[Type (TX, RX, TRX, Oscillator)]]="TX FE"),Table1[[#This Row],[Frequency (GHz)]],#N/A)</f>
        <v>#N/A</v>
      </c>
      <c r="B64" s="30" t="e">
        <f>IF(OR(Table1[[#This Row],[Type (TX, RX, TRX, Oscillator)]]="TX", Table1[[#This Row],[Type (TX, RX, TRX, Oscillator)]]="TX FE"),DATE(Table1[[#This Row],[Year ]],Table1[[#This Row],[Month]],1),#N/A)</f>
        <v>#N/A</v>
      </c>
      <c r="C64" s="1" t="e">
        <f>IF(OR(Table1[[#This Row],[Type (TX, RX, TRX, Oscillator)]]="TX",Table1[[#This Row],[Type (TX, RX, TRX, Oscillator)]]="TX FE"),Table1[[#This Row],[Total Number of Elements (TX + RX)]],#N/A)</f>
        <v>#N/A</v>
      </c>
      <c r="D64" s="1" t="e">
        <f t="shared" si="0"/>
        <v>#N/A</v>
      </c>
      <c r="E64" s="1" t="e">
        <f t="shared" si="1"/>
        <v>#N/A</v>
      </c>
      <c r="F64" s="1" t="e">
        <f t="shared" si="2"/>
        <v>#N/A</v>
      </c>
      <c r="G64" s="1" t="e">
        <f t="shared" si="3"/>
        <v>#N/A</v>
      </c>
      <c r="H64" s="1" t="e">
        <f t="shared" si="4"/>
        <v>#N/A</v>
      </c>
      <c r="I64" s="1" t="e">
        <f t="shared" si="5"/>
        <v>#N/A</v>
      </c>
      <c r="J64" s="1" t="e">
        <f t="shared" si="6"/>
        <v>#N/A</v>
      </c>
      <c r="L64" s="1">
        <f>IF(OR(Table1[[#This Row],[Type (TX, RX, TRX, Oscillator)]]="RX", Table1[[#This Row],[Type (TX, RX, TRX, Oscillator)]]="RX FE"),Table1[[#This Row],[Frequency (GHz)]],#N/A)</f>
        <v>420</v>
      </c>
      <c r="M64" s="30">
        <f>IF(OR(Table1[[#This Row],[Type (TX, RX, TRX, Oscillator)]]="RX", Table1[[#This Row],[Type (TX, RX, TRX, Oscillator)]]="RX FE"),DATE(Table1[[#This Row],[Year ]],Table1[[#This Row],[Month]],1),#N/A)</f>
        <v>44228</v>
      </c>
      <c r="N64" s="1">
        <f>IF(OR(Table1[[#This Row],[Type (TX, RX, TRX, Oscillator)]]="RX", Table1[[#This Row],[Type (TX, RX, TRX, Oscillator)]]="RX FE"),Table1[[#This Row],[Total Number of Elements (TX + RX)]],#N/A)</f>
        <v>1</v>
      </c>
      <c r="O64" s="1" t="e">
        <f t="shared" si="7"/>
        <v>#N/A</v>
      </c>
      <c r="P64" s="1" t="e">
        <f t="shared" si="8"/>
        <v>#N/A</v>
      </c>
      <c r="Q64" s="1" t="e">
        <f t="shared" si="9"/>
        <v>#N/A</v>
      </c>
      <c r="R64" s="1" t="e">
        <f t="shared" si="10"/>
        <v>#N/A</v>
      </c>
      <c r="S64" s="1" t="e">
        <f t="shared" si="11"/>
        <v>#N/A</v>
      </c>
      <c r="T64" s="1" t="e">
        <f t="shared" si="12"/>
        <v>#N/A</v>
      </c>
      <c r="U64" s="1">
        <f t="shared" si="13"/>
        <v>1</v>
      </c>
      <c r="W64" s="1" t="e">
        <f>IF(OR(Table1[[#This Row],[Type (TX, RX, TRX, Oscillator)]]="TRX",Table1[[#This Row],[Type (TX, RX, TRX, Oscillator)]]="TRX FE"),Table1[[#This Row],[Frequency (GHz)]],#N/A)</f>
        <v>#N/A</v>
      </c>
      <c r="X64" s="30" t="e">
        <f>IF(OR(Table1[[#This Row],[Type (TX, RX, TRX, Oscillator)]]="TRX", Table1[[#This Row],[Type (TX, RX, TRX, Oscillator)]]="TRX FE"),DATE(Table1[[#This Row],[Year ]],Table1[[#This Row],[Month]],1),#N/A)</f>
        <v>#N/A</v>
      </c>
      <c r="Y64" s="1" t="e">
        <f>IF(OR(Table1[[#This Row],[Type (TX, RX, TRX, Oscillator)]]="TRX", Table1[[#This Row],[Type (TX, RX, TRX, Oscillator)]]="TRX FE"),Table1[[#This Row],[Total Number of Elements (TX + RX)]],#N/A)</f>
        <v>#N/A</v>
      </c>
      <c r="Z64" s="1" t="e">
        <f t="shared" si="14"/>
        <v>#N/A</v>
      </c>
      <c r="AA64" s="1" t="e">
        <f t="shared" si="15"/>
        <v>#N/A</v>
      </c>
      <c r="AB64" s="1" t="e">
        <f t="shared" si="16"/>
        <v>#N/A</v>
      </c>
      <c r="AC64" s="1" t="e">
        <f t="shared" si="17"/>
        <v>#N/A</v>
      </c>
      <c r="AD64" s="1" t="e">
        <f t="shared" si="18"/>
        <v>#N/A</v>
      </c>
      <c r="AE64" s="1" t="e">
        <f t="shared" si="19"/>
        <v>#N/A</v>
      </c>
      <c r="AF64" s="1" t="e">
        <f t="shared" si="20"/>
        <v>#N/A</v>
      </c>
      <c r="AH64" s="1" t="e">
        <f>IF(Table1[[#This Row],[Type (TX, RX, TRX, Oscillator)]]="Oscillator",Table1[[#This Row],[Frequency (GHz)]],#N/A)</f>
        <v>#N/A</v>
      </c>
      <c r="AI64" s="30" t="e">
        <f>IF(Table1[[#This Row],[Type (TX, RX, TRX, Oscillator)]]="Oscillator",DATE(Table1[[#This Row],[Year ]],Table1[[#This Row],[Month]],1),#N/A)</f>
        <v>#N/A</v>
      </c>
      <c r="AJ64" s="1" t="e">
        <f>IF(Table1[[#This Row],[Type (TX, RX, TRX, Oscillator)]]="Oscillator",Table1[[#This Row],[Total Number of Elements (TX + RX)]],#N/A)</f>
        <v>#N/A</v>
      </c>
      <c r="AK64" s="1" t="e">
        <f t="shared" si="21"/>
        <v>#N/A</v>
      </c>
      <c r="AL64" s="1" t="e">
        <f t="shared" si="22"/>
        <v>#N/A</v>
      </c>
      <c r="AM64" s="1" t="e">
        <f t="shared" si="23"/>
        <v>#N/A</v>
      </c>
      <c r="AN64" s="1" t="e">
        <f t="shared" si="24"/>
        <v>#N/A</v>
      </c>
      <c r="AO64" s="1" t="e">
        <f t="shared" si="25"/>
        <v>#N/A</v>
      </c>
      <c r="AP64" s="1" t="e">
        <f t="shared" si="26"/>
        <v>#N/A</v>
      </c>
      <c r="AQ64" s="1" t="e">
        <f t="shared" si="27"/>
        <v>#N/A</v>
      </c>
      <c r="AS64" s="1" t="e">
        <f>IF(Table1[[#This Row],[Type (TX, RX, TRX, Oscillator)]]="Relay",Table1[[#This Row],[Frequency (GHz)]],#N/A)</f>
        <v>#N/A</v>
      </c>
      <c r="AT64" s="30" t="e">
        <f>IF(Table1[[#This Row],[Type (TX, RX, TRX, Oscillator)]]="Relay",DATE(Table1[[#This Row],[Year ]],Table1[[#This Row],[Month]],1),#N/A)</f>
        <v>#N/A</v>
      </c>
      <c r="AU64" s="1" t="e">
        <f>IF(Table1[[#This Row],[Type (TX, RX, TRX, Oscillator)]]="Relay",Table1[[#This Row],[Total Number of Elements (TX + RX)]],#N/A)</f>
        <v>#N/A</v>
      </c>
      <c r="AV64" s="1" t="e">
        <f t="shared" si="28"/>
        <v>#N/A</v>
      </c>
      <c r="AW64" s="1" t="e">
        <f t="shared" si="29"/>
        <v>#N/A</v>
      </c>
      <c r="AX64" s="1" t="e">
        <f t="shared" si="30"/>
        <v>#N/A</v>
      </c>
      <c r="AY64" s="1" t="e">
        <f t="shared" si="31"/>
        <v>#N/A</v>
      </c>
      <c r="AZ64" s="1" t="e">
        <f t="shared" si="32"/>
        <v>#N/A</v>
      </c>
      <c r="BA64" s="1" t="e">
        <f t="shared" si="33"/>
        <v>#N/A</v>
      </c>
      <c r="BB64" s="1" t="e">
        <f t="shared" si="34"/>
        <v>#N/A</v>
      </c>
    </row>
    <row r="65" spans="1:54" x14ac:dyDescent="0.2">
      <c r="A65" s="1" t="e">
        <f>IF(OR(Table1[[#This Row],[Type (TX, RX, TRX, Oscillator)]]="TX", Table1[[#This Row],[Type (TX, RX, TRX, Oscillator)]]="TX FE"),Table1[[#This Row],[Frequency (GHz)]],#N/A)</f>
        <v>#N/A</v>
      </c>
      <c r="B65" s="30" t="e">
        <f>IF(OR(Table1[[#This Row],[Type (TX, RX, TRX, Oscillator)]]="TX", Table1[[#This Row],[Type (TX, RX, TRX, Oscillator)]]="TX FE"),DATE(Table1[[#This Row],[Year ]],Table1[[#This Row],[Month]],1),#N/A)</f>
        <v>#N/A</v>
      </c>
      <c r="C65" s="1" t="e">
        <f>IF(OR(Table1[[#This Row],[Type (TX, RX, TRX, Oscillator)]]="TX",Table1[[#This Row],[Type (TX, RX, TRX, Oscillator)]]="TX FE"),Table1[[#This Row],[Total Number of Elements (TX + RX)]],#N/A)</f>
        <v>#N/A</v>
      </c>
      <c r="D65" s="1" t="e">
        <f t="shared" si="0"/>
        <v>#N/A</v>
      </c>
      <c r="E65" s="1" t="e">
        <f t="shared" si="1"/>
        <v>#N/A</v>
      </c>
      <c r="F65" s="1" t="e">
        <f t="shared" si="2"/>
        <v>#N/A</v>
      </c>
      <c r="G65" s="1" t="e">
        <f t="shared" si="3"/>
        <v>#N/A</v>
      </c>
      <c r="H65" s="1" t="e">
        <f t="shared" si="4"/>
        <v>#N/A</v>
      </c>
      <c r="I65" s="1" t="e">
        <f t="shared" si="5"/>
        <v>#N/A</v>
      </c>
      <c r="J65" s="1" t="e">
        <f t="shared" si="6"/>
        <v>#N/A</v>
      </c>
      <c r="L65" s="1" t="e">
        <f>IF(OR(Table1[[#This Row],[Type (TX, RX, TRX, Oscillator)]]="RX", Table1[[#This Row],[Type (TX, RX, TRX, Oscillator)]]="RX FE"),Table1[[#This Row],[Frequency (GHz)]],#N/A)</f>
        <v>#N/A</v>
      </c>
      <c r="M65" s="30" t="e">
        <f>IF(OR(Table1[[#This Row],[Type (TX, RX, TRX, Oscillator)]]="RX", Table1[[#This Row],[Type (TX, RX, TRX, Oscillator)]]="RX FE"),DATE(Table1[[#This Row],[Year ]],Table1[[#This Row],[Month]],1),#N/A)</f>
        <v>#N/A</v>
      </c>
      <c r="N65" s="1" t="e">
        <f>IF(OR(Table1[[#This Row],[Type (TX, RX, TRX, Oscillator)]]="RX", Table1[[#This Row],[Type (TX, RX, TRX, Oscillator)]]="RX FE"),Table1[[#This Row],[Total Number of Elements (TX + RX)]],#N/A)</f>
        <v>#N/A</v>
      </c>
      <c r="O65" s="1" t="e">
        <f t="shared" si="7"/>
        <v>#N/A</v>
      </c>
      <c r="P65" s="1" t="e">
        <f t="shared" si="8"/>
        <v>#N/A</v>
      </c>
      <c r="Q65" s="1" t="e">
        <f t="shared" si="9"/>
        <v>#N/A</v>
      </c>
      <c r="R65" s="1" t="e">
        <f t="shared" si="10"/>
        <v>#N/A</v>
      </c>
      <c r="S65" s="1" t="e">
        <f t="shared" si="11"/>
        <v>#N/A</v>
      </c>
      <c r="T65" s="1" t="e">
        <f t="shared" si="12"/>
        <v>#N/A</v>
      </c>
      <c r="U65" s="1" t="e">
        <f t="shared" si="13"/>
        <v>#N/A</v>
      </c>
      <c r="W65" s="1" t="e">
        <f>IF(OR(Table1[[#This Row],[Type (TX, RX, TRX, Oscillator)]]="TRX",Table1[[#This Row],[Type (TX, RX, TRX, Oscillator)]]="TRX FE"),Table1[[#This Row],[Frequency (GHz)]],#N/A)</f>
        <v>#N/A</v>
      </c>
      <c r="X65" s="30" t="e">
        <f>IF(OR(Table1[[#This Row],[Type (TX, RX, TRX, Oscillator)]]="TRX", Table1[[#This Row],[Type (TX, RX, TRX, Oscillator)]]="TRX FE"),DATE(Table1[[#This Row],[Year ]],Table1[[#This Row],[Month]],1),#N/A)</f>
        <v>#N/A</v>
      </c>
      <c r="Y65" s="1" t="e">
        <f>IF(OR(Table1[[#This Row],[Type (TX, RX, TRX, Oscillator)]]="TRX", Table1[[#This Row],[Type (TX, RX, TRX, Oscillator)]]="TRX FE"),Table1[[#This Row],[Total Number of Elements (TX + RX)]],#N/A)</f>
        <v>#N/A</v>
      </c>
      <c r="Z65" s="1" t="e">
        <f t="shared" si="14"/>
        <v>#N/A</v>
      </c>
      <c r="AA65" s="1" t="e">
        <f t="shared" si="15"/>
        <v>#N/A</v>
      </c>
      <c r="AB65" s="1" t="e">
        <f t="shared" si="16"/>
        <v>#N/A</v>
      </c>
      <c r="AC65" s="1" t="e">
        <f t="shared" si="17"/>
        <v>#N/A</v>
      </c>
      <c r="AD65" s="1" t="e">
        <f t="shared" si="18"/>
        <v>#N/A</v>
      </c>
      <c r="AE65" s="1" t="e">
        <f t="shared" si="19"/>
        <v>#N/A</v>
      </c>
      <c r="AF65" s="1" t="e">
        <f t="shared" si="20"/>
        <v>#N/A</v>
      </c>
      <c r="AH65" s="1">
        <f>IF(Table1[[#This Row],[Type (TX, RX, TRX, Oscillator)]]="Oscillator",Table1[[#This Row],[Frequency (GHz)]],#N/A)</f>
        <v>245</v>
      </c>
      <c r="AI65" s="30">
        <f>IF(Table1[[#This Row],[Type (TX, RX, TRX, Oscillator)]]="Oscillator",DATE(Table1[[#This Row],[Year ]],Table1[[#This Row],[Month]],1),#N/A)</f>
        <v>44228</v>
      </c>
      <c r="AJ65" s="1">
        <f>IF(Table1[[#This Row],[Type (TX, RX, TRX, Oscillator)]]="Oscillator",Table1[[#This Row],[Total Number of Elements (TX + RX)]],#N/A)</f>
        <v>1</v>
      </c>
      <c r="AK65" s="1" t="e">
        <f t="shared" si="21"/>
        <v>#N/A</v>
      </c>
      <c r="AL65" s="1" t="e">
        <f t="shared" si="22"/>
        <v>#N/A</v>
      </c>
      <c r="AM65" s="1" t="e">
        <f t="shared" si="23"/>
        <v>#N/A</v>
      </c>
      <c r="AN65" s="1" t="e">
        <f t="shared" si="24"/>
        <v>#N/A</v>
      </c>
      <c r="AO65" s="1" t="e">
        <f t="shared" si="25"/>
        <v>#N/A</v>
      </c>
      <c r="AP65" s="1">
        <f t="shared" si="26"/>
        <v>1</v>
      </c>
      <c r="AQ65" s="1" t="e">
        <f t="shared" si="27"/>
        <v>#N/A</v>
      </c>
      <c r="AS65" s="1" t="e">
        <f>IF(Table1[[#This Row],[Type (TX, RX, TRX, Oscillator)]]="Relay",Table1[[#This Row],[Frequency (GHz)]],#N/A)</f>
        <v>#N/A</v>
      </c>
      <c r="AT65" s="30" t="e">
        <f>IF(Table1[[#This Row],[Type (TX, RX, TRX, Oscillator)]]="Relay",DATE(Table1[[#This Row],[Year ]],Table1[[#This Row],[Month]],1),#N/A)</f>
        <v>#N/A</v>
      </c>
      <c r="AU65" s="1" t="e">
        <f>IF(Table1[[#This Row],[Type (TX, RX, TRX, Oscillator)]]="Relay",Table1[[#This Row],[Total Number of Elements (TX + RX)]],#N/A)</f>
        <v>#N/A</v>
      </c>
      <c r="AV65" s="1" t="e">
        <f t="shared" si="28"/>
        <v>#N/A</v>
      </c>
      <c r="AW65" s="1" t="e">
        <f t="shared" si="29"/>
        <v>#N/A</v>
      </c>
      <c r="AX65" s="1" t="e">
        <f t="shared" si="30"/>
        <v>#N/A</v>
      </c>
      <c r="AY65" s="1" t="e">
        <f t="shared" si="31"/>
        <v>#N/A</v>
      </c>
      <c r="AZ65" s="1" t="e">
        <f t="shared" si="32"/>
        <v>#N/A</v>
      </c>
      <c r="BA65" s="1" t="e">
        <f t="shared" si="33"/>
        <v>#N/A</v>
      </c>
      <c r="BB65" s="1" t="e">
        <f t="shared" si="34"/>
        <v>#N/A</v>
      </c>
    </row>
    <row r="66" spans="1:54" x14ac:dyDescent="0.2">
      <c r="A66" s="1" t="e">
        <f>IF(OR(Table1[[#This Row],[Type (TX, RX, TRX, Oscillator)]]="TX", Table1[[#This Row],[Type (TX, RX, TRX, Oscillator)]]="TX FE"),Table1[[#This Row],[Frequency (GHz)]],#N/A)</f>
        <v>#N/A</v>
      </c>
      <c r="B66" s="30" t="e">
        <f>IF(OR(Table1[[#This Row],[Type (TX, RX, TRX, Oscillator)]]="TX", Table1[[#This Row],[Type (TX, RX, TRX, Oscillator)]]="TX FE"),DATE(Table1[[#This Row],[Year ]],Table1[[#This Row],[Month]],1),#N/A)</f>
        <v>#N/A</v>
      </c>
      <c r="C66" s="1" t="e">
        <f>IF(OR(Table1[[#This Row],[Type (TX, RX, TRX, Oscillator)]]="TX",Table1[[#This Row],[Type (TX, RX, TRX, Oscillator)]]="TX FE"),Table1[[#This Row],[Total Number of Elements (TX + RX)]],#N/A)</f>
        <v>#N/A</v>
      </c>
      <c r="D66" s="1" t="e">
        <f t="shared" si="0"/>
        <v>#N/A</v>
      </c>
      <c r="E66" s="1" t="e">
        <f t="shared" si="1"/>
        <v>#N/A</v>
      </c>
      <c r="F66" s="1" t="e">
        <f t="shared" si="2"/>
        <v>#N/A</v>
      </c>
      <c r="G66" s="1" t="e">
        <f t="shared" si="3"/>
        <v>#N/A</v>
      </c>
      <c r="H66" s="1" t="e">
        <f t="shared" si="4"/>
        <v>#N/A</v>
      </c>
      <c r="I66" s="1" t="e">
        <f t="shared" si="5"/>
        <v>#N/A</v>
      </c>
      <c r="J66" s="1" t="e">
        <f t="shared" si="6"/>
        <v>#N/A</v>
      </c>
      <c r="L66" s="1" t="e">
        <f>IF(OR(Table1[[#This Row],[Type (TX, RX, TRX, Oscillator)]]="RX", Table1[[#This Row],[Type (TX, RX, TRX, Oscillator)]]="RX FE"),Table1[[#This Row],[Frequency (GHz)]],#N/A)</f>
        <v>#N/A</v>
      </c>
      <c r="M66" s="30" t="e">
        <f>IF(OR(Table1[[#This Row],[Type (TX, RX, TRX, Oscillator)]]="RX", Table1[[#This Row],[Type (TX, RX, TRX, Oscillator)]]="RX FE"),DATE(Table1[[#This Row],[Year ]],Table1[[#This Row],[Month]],1),#N/A)</f>
        <v>#N/A</v>
      </c>
      <c r="N66" s="1" t="e">
        <f>IF(OR(Table1[[#This Row],[Type (TX, RX, TRX, Oscillator)]]="RX", Table1[[#This Row],[Type (TX, RX, TRX, Oscillator)]]="RX FE"),Table1[[#This Row],[Total Number of Elements (TX + RX)]],#N/A)</f>
        <v>#N/A</v>
      </c>
      <c r="O66" s="1" t="e">
        <f t="shared" si="7"/>
        <v>#N/A</v>
      </c>
      <c r="P66" s="1" t="e">
        <f t="shared" si="8"/>
        <v>#N/A</v>
      </c>
      <c r="Q66" s="1" t="e">
        <f t="shared" si="9"/>
        <v>#N/A</v>
      </c>
      <c r="R66" s="1" t="e">
        <f t="shared" si="10"/>
        <v>#N/A</v>
      </c>
      <c r="S66" s="1" t="e">
        <f t="shared" si="11"/>
        <v>#N/A</v>
      </c>
      <c r="T66" s="1" t="e">
        <f t="shared" si="12"/>
        <v>#N/A</v>
      </c>
      <c r="U66" s="1" t="e">
        <f t="shared" si="13"/>
        <v>#N/A</v>
      </c>
      <c r="W66" s="1">
        <f>IF(OR(Table1[[#This Row],[Type (TX, RX, TRX, Oscillator)]]="TRX",Table1[[#This Row],[Type (TX, RX, TRX, Oscillator)]]="TRX FE"),Table1[[#This Row],[Frequency (GHz)]],#N/A)</f>
        <v>256</v>
      </c>
      <c r="X66" s="30">
        <f>IF(OR(Table1[[#This Row],[Type (TX, RX, TRX, Oscillator)]]="TRX", Table1[[#This Row],[Type (TX, RX, TRX, Oscillator)]]="TRX FE"),DATE(Table1[[#This Row],[Year ]],Table1[[#This Row],[Month]],1),#N/A)</f>
        <v>44228</v>
      </c>
      <c r="Y66" s="1">
        <f>IF(OR(Table1[[#This Row],[Type (TX, RX, TRX, Oscillator)]]="TRX", Table1[[#This Row],[Type (TX, RX, TRX, Oscillator)]]="TRX FE"),Table1[[#This Row],[Total Number of Elements (TX + RX)]],#N/A)</f>
        <v>8</v>
      </c>
      <c r="Z66" s="1" t="e">
        <f t="shared" si="14"/>
        <v>#N/A</v>
      </c>
      <c r="AA66" s="1" t="e">
        <f t="shared" si="15"/>
        <v>#N/A</v>
      </c>
      <c r="AB66" s="1" t="e">
        <f t="shared" si="16"/>
        <v>#N/A</v>
      </c>
      <c r="AC66" s="1" t="e">
        <f t="shared" si="17"/>
        <v>#N/A</v>
      </c>
      <c r="AD66" s="1" t="e">
        <f t="shared" si="18"/>
        <v>#N/A</v>
      </c>
      <c r="AE66" s="1">
        <f t="shared" si="19"/>
        <v>8</v>
      </c>
      <c r="AF66" s="1" t="e">
        <f t="shared" si="20"/>
        <v>#N/A</v>
      </c>
      <c r="AH66" s="1" t="e">
        <f>IF(Table1[[#This Row],[Type (TX, RX, TRX, Oscillator)]]="Oscillator",Table1[[#This Row],[Frequency (GHz)]],#N/A)</f>
        <v>#N/A</v>
      </c>
      <c r="AI66" s="30" t="e">
        <f>IF(Table1[[#This Row],[Type (TX, RX, TRX, Oscillator)]]="Oscillator",DATE(Table1[[#This Row],[Year ]],Table1[[#This Row],[Month]],1),#N/A)</f>
        <v>#N/A</v>
      </c>
      <c r="AJ66" s="1" t="e">
        <f>IF(Table1[[#This Row],[Type (TX, RX, TRX, Oscillator)]]="Oscillator",Table1[[#This Row],[Total Number of Elements (TX + RX)]],#N/A)</f>
        <v>#N/A</v>
      </c>
      <c r="AK66" s="1" t="e">
        <f t="shared" si="21"/>
        <v>#N/A</v>
      </c>
      <c r="AL66" s="1" t="e">
        <f t="shared" si="22"/>
        <v>#N/A</v>
      </c>
      <c r="AM66" s="1" t="e">
        <f t="shared" si="23"/>
        <v>#N/A</v>
      </c>
      <c r="AN66" s="1" t="e">
        <f t="shared" si="24"/>
        <v>#N/A</v>
      </c>
      <c r="AO66" s="1" t="e">
        <f t="shared" si="25"/>
        <v>#N/A</v>
      </c>
      <c r="AP66" s="1" t="e">
        <f t="shared" si="26"/>
        <v>#N/A</v>
      </c>
      <c r="AQ66" s="1" t="e">
        <f t="shared" si="27"/>
        <v>#N/A</v>
      </c>
      <c r="AS66" s="1" t="e">
        <f>IF(Table1[[#This Row],[Type (TX, RX, TRX, Oscillator)]]="Relay",Table1[[#This Row],[Frequency (GHz)]],#N/A)</f>
        <v>#N/A</v>
      </c>
      <c r="AT66" s="30" t="e">
        <f>IF(Table1[[#This Row],[Type (TX, RX, TRX, Oscillator)]]="Relay",DATE(Table1[[#This Row],[Year ]],Table1[[#This Row],[Month]],1),#N/A)</f>
        <v>#N/A</v>
      </c>
      <c r="AU66" s="1" t="e">
        <f>IF(Table1[[#This Row],[Type (TX, RX, TRX, Oscillator)]]="Relay",Table1[[#This Row],[Total Number of Elements (TX + RX)]],#N/A)</f>
        <v>#N/A</v>
      </c>
      <c r="AV66" s="1" t="e">
        <f t="shared" si="28"/>
        <v>#N/A</v>
      </c>
      <c r="AW66" s="1" t="e">
        <f t="shared" si="29"/>
        <v>#N/A</v>
      </c>
      <c r="AX66" s="1" t="e">
        <f t="shared" si="30"/>
        <v>#N/A</v>
      </c>
      <c r="AY66" s="1" t="e">
        <f t="shared" si="31"/>
        <v>#N/A</v>
      </c>
      <c r="AZ66" s="1" t="e">
        <f t="shared" si="32"/>
        <v>#N/A</v>
      </c>
      <c r="BA66" s="1" t="e">
        <f t="shared" si="33"/>
        <v>#N/A</v>
      </c>
      <c r="BB66" s="1" t="e">
        <f t="shared" si="34"/>
        <v>#N/A</v>
      </c>
    </row>
    <row r="67" spans="1:54" x14ac:dyDescent="0.2">
      <c r="A67" s="1" t="e">
        <f>IF(OR(Table1[[#This Row],[Type (TX, RX, TRX, Oscillator)]]="TX", Table1[[#This Row],[Type (TX, RX, TRX, Oscillator)]]="TX FE"),Table1[[#This Row],[Frequency (GHz)]],#N/A)</f>
        <v>#N/A</v>
      </c>
      <c r="B67" s="30" t="e">
        <f>IF(OR(Table1[[#This Row],[Type (TX, RX, TRX, Oscillator)]]="TX", Table1[[#This Row],[Type (TX, RX, TRX, Oscillator)]]="TX FE"),DATE(Table1[[#This Row],[Year ]],Table1[[#This Row],[Month]],1),#N/A)</f>
        <v>#N/A</v>
      </c>
      <c r="C67" s="1" t="e">
        <f>IF(OR(Table1[[#This Row],[Type (TX, RX, TRX, Oscillator)]]="TX",Table1[[#This Row],[Type (TX, RX, TRX, Oscillator)]]="TX FE"),Table1[[#This Row],[Total Number of Elements (TX + RX)]],#N/A)</f>
        <v>#N/A</v>
      </c>
      <c r="D67" s="1" t="e">
        <f t="shared" ref="D67:D130" si="35">IF(A67&lt;20,C67,#N/A)</f>
        <v>#N/A</v>
      </c>
      <c r="E67" s="1" t="e">
        <f t="shared" ref="E67:E130" si="36">IF(AND(A67&gt;=20,A67&lt;50),C67,#N/A)</f>
        <v>#N/A</v>
      </c>
      <c r="F67" s="1" t="e">
        <f t="shared" ref="F67:F130" si="37">IF(AND(A67&gt;=50,A67&lt;75),C67,#N/A)</f>
        <v>#N/A</v>
      </c>
      <c r="G67" s="1" t="e">
        <f t="shared" ref="G67:G130" si="38">IF(AND(A67&gt;=75,A67&lt;110),C67,#N/A)</f>
        <v>#N/A</v>
      </c>
      <c r="H67" s="1" t="e">
        <f t="shared" ref="H67:H130" si="39">IF(AND(A67&gt;=110,A67&lt;170),C67,#N/A)</f>
        <v>#N/A</v>
      </c>
      <c r="I67" s="1" t="e">
        <f t="shared" ref="I67:I130" si="40">IF(AND(A67&gt;=170,A67&lt;260),C67,#N/A)</f>
        <v>#N/A</v>
      </c>
      <c r="J67" s="1" t="e">
        <f t="shared" ref="J67:J130" si="41">IF(A67&gt;=260,C67,#N/A)</f>
        <v>#N/A</v>
      </c>
      <c r="L67" s="1" t="e">
        <f>IF(OR(Table1[[#This Row],[Type (TX, RX, TRX, Oscillator)]]="RX", Table1[[#This Row],[Type (TX, RX, TRX, Oscillator)]]="RX FE"),Table1[[#This Row],[Frequency (GHz)]],#N/A)</f>
        <v>#N/A</v>
      </c>
      <c r="M67" s="30" t="e">
        <f>IF(OR(Table1[[#This Row],[Type (TX, RX, TRX, Oscillator)]]="RX", Table1[[#This Row],[Type (TX, RX, TRX, Oscillator)]]="RX FE"),DATE(Table1[[#This Row],[Year ]],Table1[[#This Row],[Month]],1),#N/A)</f>
        <v>#N/A</v>
      </c>
      <c r="N67" s="1" t="e">
        <f>IF(OR(Table1[[#This Row],[Type (TX, RX, TRX, Oscillator)]]="RX", Table1[[#This Row],[Type (TX, RX, TRX, Oscillator)]]="RX FE"),Table1[[#This Row],[Total Number of Elements (TX + RX)]],#N/A)</f>
        <v>#N/A</v>
      </c>
      <c r="O67" s="1" t="e">
        <f t="shared" ref="O67:O130" si="42">IF(L67&lt;20,N67,#N/A)</f>
        <v>#N/A</v>
      </c>
      <c r="P67" s="1" t="e">
        <f t="shared" ref="P67:P130" si="43">IF(AND(L67&gt;=20,L67&lt;50),N67,#N/A)</f>
        <v>#N/A</v>
      </c>
      <c r="Q67" s="1" t="e">
        <f t="shared" ref="Q67:Q130" si="44">IF(AND(L67&gt;=50,L67&lt;75),N67,#N/A)</f>
        <v>#N/A</v>
      </c>
      <c r="R67" s="1" t="e">
        <f t="shared" ref="R67:R130" si="45">IF(AND(L67&gt;=75,L67&lt;110),N67,#N/A)</f>
        <v>#N/A</v>
      </c>
      <c r="S67" s="1" t="e">
        <f t="shared" ref="S67:S130" si="46">IF(AND(L67&gt;=110,L67&lt;170),N67,#N/A)</f>
        <v>#N/A</v>
      </c>
      <c r="T67" s="1" t="e">
        <f t="shared" ref="T67:T130" si="47">IF(AND(L67&gt;=170,L67&lt;260),N67,#N/A)</f>
        <v>#N/A</v>
      </c>
      <c r="U67" s="1" t="e">
        <f t="shared" ref="U67:U130" si="48">IF(L67&gt;=260,N67,#N/A)</f>
        <v>#N/A</v>
      </c>
      <c r="W67" s="1" t="e">
        <f>IF(OR(Table1[[#This Row],[Type (TX, RX, TRX, Oscillator)]]="TRX",Table1[[#This Row],[Type (TX, RX, TRX, Oscillator)]]="TRX FE"),Table1[[#This Row],[Frequency (GHz)]],#N/A)</f>
        <v>#N/A</v>
      </c>
      <c r="X67" s="30" t="e">
        <f>IF(OR(Table1[[#This Row],[Type (TX, RX, TRX, Oscillator)]]="TRX", Table1[[#This Row],[Type (TX, RX, TRX, Oscillator)]]="TRX FE"),DATE(Table1[[#This Row],[Year ]],Table1[[#This Row],[Month]],1),#N/A)</f>
        <v>#N/A</v>
      </c>
      <c r="Y67" s="1" t="e">
        <f>IF(OR(Table1[[#This Row],[Type (TX, RX, TRX, Oscillator)]]="TRX", Table1[[#This Row],[Type (TX, RX, TRX, Oscillator)]]="TRX FE"),Table1[[#This Row],[Total Number of Elements (TX + RX)]],#N/A)</f>
        <v>#N/A</v>
      </c>
      <c r="Z67" s="1" t="e">
        <f t="shared" ref="Z67:Z130" si="49">IF(W67&lt;20,Y67,#N/A)</f>
        <v>#N/A</v>
      </c>
      <c r="AA67" s="1" t="e">
        <f t="shared" ref="AA67:AA130" si="50">IF(AND(W67&gt;=20,W67&lt;50),Y67,#N/A)</f>
        <v>#N/A</v>
      </c>
      <c r="AB67" s="1" t="e">
        <f t="shared" ref="AB67:AB130" si="51">IF(AND(W67&gt;=50,W67&lt;75),Y67,#N/A)</f>
        <v>#N/A</v>
      </c>
      <c r="AC67" s="1" t="e">
        <f t="shared" ref="AC67:AC130" si="52">IF(AND(W67&gt;=75,W67&lt;110),Y67,#N/A)</f>
        <v>#N/A</v>
      </c>
      <c r="AD67" s="1" t="e">
        <f t="shared" ref="AD67:AD130" si="53">IF(AND(W67&gt;=110,W67&lt;170),Y67,#N/A)</f>
        <v>#N/A</v>
      </c>
      <c r="AE67" s="1" t="e">
        <f t="shared" ref="AE67:AE130" si="54">IF(AND(W67&gt;=170,W67&lt;260),Y67,#N/A)</f>
        <v>#N/A</v>
      </c>
      <c r="AF67" s="1" t="e">
        <f t="shared" ref="AF67:AF130" si="55">IF(W67&gt;=260,Y67,#N/A)</f>
        <v>#N/A</v>
      </c>
      <c r="AH67" s="1">
        <f>IF(Table1[[#This Row],[Type (TX, RX, TRX, Oscillator)]]="Oscillator",Table1[[#This Row],[Frequency (GHz)]],#N/A)</f>
        <v>450</v>
      </c>
      <c r="AI67" s="30">
        <f>IF(Table1[[#This Row],[Type (TX, RX, TRX, Oscillator)]]="Oscillator",DATE(Table1[[#This Row],[Year ]],Table1[[#This Row],[Month]],1),#N/A)</f>
        <v>44228</v>
      </c>
      <c r="AJ67" s="1">
        <f>IF(Table1[[#This Row],[Type (TX, RX, TRX, Oscillator)]]="Oscillator",Table1[[#This Row],[Total Number of Elements (TX + RX)]],#N/A)</f>
        <v>21</v>
      </c>
      <c r="AK67" s="1" t="e">
        <f t="shared" ref="AK67:AK130" si="56">IF(AH67&lt;20,AJ67,#N/A)</f>
        <v>#N/A</v>
      </c>
      <c r="AL67" s="1" t="e">
        <f t="shared" ref="AL67:AL130" si="57">IF(AND(AH67&gt;=20,AH67&lt;50),AJ67,#N/A)</f>
        <v>#N/A</v>
      </c>
      <c r="AM67" s="1" t="e">
        <f t="shared" ref="AM67:AM130" si="58">IF(AND(AH67&gt;=50,AH67&lt;75),AJ67,#N/A)</f>
        <v>#N/A</v>
      </c>
      <c r="AN67" s="1" t="e">
        <f t="shared" ref="AN67:AN130" si="59">IF(AND(AH67&gt;=75,AH67&lt;110),AJ67,#N/A)</f>
        <v>#N/A</v>
      </c>
      <c r="AO67" s="1" t="e">
        <f t="shared" ref="AO67:AO130" si="60">IF(AND(AH67&gt;=110,AH67&lt;170),AJ67,#N/A)</f>
        <v>#N/A</v>
      </c>
      <c r="AP67" s="1" t="e">
        <f t="shared" ref="AP67:AP130" si="61">IF(AND(AH67&gt;=170,AH67&lt;260),AJ67,#N/A)</f>
        <v>#N/A</v>
      </c>
      <c r="AQ67" s="1">
        <f t="shared" ref="AQ67:AQ130" si="62">IF(AH67&gt;=260,AJ67,#N/A)</f>
        <v>21</v>
      </c>
      <c r="AS67" s="1" t="e">
        <f>IF(Table1[[#This Row],[Type (TX, RX, TRX, Oscillator)]]="Relay",Table1[[#This Row],[Frequency (GHz)]],#N/A)</f>
        <v>#N/A</v>
      </c>
      <c r="AT67" s="30" t="e">
        <f>IF(Table1[[#This Row],[Type (TX, RX, TRX, Oscillator)]]="Relay",DATE(Table1[[#This Row],[Year ]],Table1[[#This Row],[Month]],1),#N/A)</f>
        <v>#N/A</v>
      </c>
      <c r="AU67" s="1" t="e">
        <f>IF(Table1[[#This Row],[Type (TX, RX, TRX, Oscillator)]]="Relay",Table1[[#This Row],[Total Number of Elements (TX + RX)]],#N/A)</f>
        <v>#N/A</v>
      </c>
      <c r="AV67" s="1" t="e">
        <f t="shared" ref="AV67:AV130" si="63">IF(AS67&lt;20,AU67,#N/A)</f>
        <v>#N/A</v>
      </c>
      <c r="AW67" s="1" t="e">
        <f t="shared" ref="AW67:AW130" si="64">IF(AND(AS67&gt;=20,AS67&lt;50),AU67,#N/A)</f>
        <v>#N/A</v>
      </c>
      <c r="AX67" s="1" t="e">
        <f t="shared" ref="AX67:AX130" si="65">IF(AND(AS67&gt;=50,AS67&lt;75),AU67,#N/A)</f>
        <v>#N/A</v>
      </c>
      <c r="AY67" s="1" t="e">
        <f t="shared" ref="AY67:AY130" si="66">IF(AND(AS67&gt;=75,AS67&lt;110),AU67,#N/A)</f>
        <v>#N/A</v>
      </c>
      <c r="AZ67" s="1" t="e">
        <f t="shared" ref="AZ67:AZ130" si="67">IF(AND(AS67&gt;=110,AS67&lt;170),AU67,#N/A)</f>
        <v>#N/A</v>
      </c>
      <c r="BA67" s="1" t="e">
        <f t="shared" ref="BA67:BA130" si="68">IF(AND(AS67&gt;=170,AS67&lt;260),AU67,#N/A)</f>
        <v>#N/A</v>
      </c>
      <c r="BB67" s="1" t="e">
        <f t="shared" ref="BB67:BB130" si="69">IF(AS67&gt;=260,AU67,#N/A)</f>
        <v>#N/A</v>
      </c>
    </row>
    <row r="68" spans="1:54" x14ac:dyDescent="0.2">
      <c r="A68" s="1" t="e">
        <f>IF(OR(Table1[[#This Row],[Type (TX, RX, TRX, Oscillator)]]="TX", Table1[[#This Row],[Type (TX, RX, TRX, Oscillator)]]="TX FE"),Table1[[#This Row],[Frequency (GHz)]],#N/A)</f>
        <v>#N/A</v>
      </c>
      <c r="B68" s="30" t="e">
        <f>IF(OR(Table1[[#This Row],[Type (TX, RX, TRX, Oscillator)]]="TX", Table1[[#This Row],[Type (TX, RX, TRX, Oscillator)]]="TX FE"),DATE(Table1[[#This Row],[Year ]],Table1[[#This Row],[Month]],1),#N/A)</f>
        <v>#N/A</v>
      </c>
      <c r="C68" s="1" t="e">
        <f>IF(OR(Table1[[#This Row],[Type (TX, RX, TRX, Oscillator)]]="TX",Table1[[#This Row],[Type (TX, RX, TRX, Oscillator)]]="TX FE"),Table1[[#This Row],[Total Number of Elements (TX + RX)]],#N/A)</f>
        <v>#N/A</v>
      </c>
      <c r="D68" s="1" t="e">
        <f t="shared" si="35"/>
        <v>#N/A</v>
      </c>
      <c r="E68" s="1" t="e">
        <f t="shared" si="36"/>
        <v>#N/A</v>
      </c>
      <c r="F68" s="1" t="e">
        <f t="shared" si="37"/>
        <v>#N/A</v>
      </c>
      <c r="G68" s="1" t="e">
        <f t="shared" si="38"/>
        <v>#N/A</v>
      </c>
      <c r="H68" s="1" t="e">
        <f t="shared" si="39"/>
        <v>#N/A</v>
      </c>
      <c r="I68" s="1" t="e">
        <f t="shared" si="40"/>
        <v>#N/A</v>
      </c>
      <c r="J68" s="1" t="e">
        <f t="shared" si="41"/>
        <v>#N/A</v>
      </c>
      <c r="L68" s="1" t="e">
        <f>IF(OR(Table1[[#This Row],[Type (TX, RX, TRX, Oscillator)]]="RX", Table1[[#This Row],[Type (TX, RX, TRX, Oscillator)]]="RX FE"),Table1[[#This Row],[Frequency (GHz)]],#N/A)</f>
        <v>#N/A</v>
      </c>
      <c r="M68" s="30" t="e">
        <f>IF(OR(Table1[[#This Row],[Type (TX, RX, TRX, Oscillator)]]="RX", Table1[[#This Row],[Type (TX, RX, TRX, Oscillator)]]="RX FE"),DATE(Table1[[#This Row],[Year ]],Table1[[#This Row],[Month]],1),#N/A)</f>
        <v>#N/A</v>
      </c>
      <c r="N68" s="1" t="e">
        <f>IF(OR(Table1[[#This Row],[Type (TX, RX, TRX, Oscillator)]]="RX", Table1[[#This Row],[Type (TX, RX, TRX, Oscillator)]]="RX FE"),Table1[[#This Row],[Total Number of Elements (TX + RX)]],#N/A)</f>
        <v>#N/A</v>
      </c>
      <c r="O68" s="1" t="e">
        <f t="shared" si="42"/>
        <v>#N/A</v>
      </c>
      <c r="P68" s="1" t="e">
        <f t="shared" si="43"/>
        <v>#N/A</v>
      </c>
      <c r="Q68" s="1" t="e">
        <f t="shared" si="44"/>
        <v>#N/A</v>
      </c>
      <c r="R68" s="1" t="e">
        <f t="shared" si="45"/>
        <v>#N/A</v>
      </c>
      <c r="S68" s="1" t="e">
        <f t="shared" si="46"/>
        <v>#N/A</v>
      </c>
      <c r="T68" s="1" t="e">
        <f t="shared" si="47"/>
        <v>#N/A</v>
      </c>
      <c r="U68" s="1" t="e">
        <f t="shared" si="48"/>
        <v>#N/A</v>
      </c>
      <c r="W68" s="1" t="e">
        <f>IF(OR(Table1[[#This Row],[Type (TX, RX, TRX, Oscillator)]]="TRX",Table1[[#This Row],[Type (TX, RX, TRX, Oscillator)]]="TRX FE"),Table1[[#This Row],[Frequency (GHz)]],#N/A)</f>
        <v>#N/A</v>
      </c>
      <c r="X68" s="30" t="e">
        <f>IF(OR(Table1[[#This Row],[Type (TX, RX, TRX, Oscillator)]]="TRX", Table1[[#This Row],[Type (TX, RX, TRX, Oscillator)]]="TRX FE"),DATE(Table1[[#This Row],[Year ]],Table1[[#This Row],[Month]],1),#N/A)</f>
        <v>#N/A</v>
      </c>
      <c r="Y68" s="1" t="e">
        <f>IF(OR(Table1[[#This Row],[Type (TX, RX, TRX, Oscillator)]]="TRX", Table1[[#This Row],[Type (TX, RX, TRX, Oscillator)]]="TRX FE"),Table1[[#This Row],[Total Number of Elements (TX + RX)]],#N/A)</f>
        <v>#N/A</v>
      </c>
      <c r="Z68" s="1" t="e">
        <f t="shared" si="49"/>
        <v>#N/A</v>
      </c>
      <c r="AA68" s="1" t="e">
        <f t="shared" si="50"/>
        <v>#N/A</v>
      </c>
      <c r="AB68" s="1" t="e">
        <f t="shared" si="51"/>
        <v>#N/A</v>
      </c>
      <c r="AC68" s="1" t="e">
        <f t="shared" si="52"/>
        <v>#N/A</v>
      </c>
      <c r="AD68" s="1" t="e">
        <f t="shared" si="53"/>
        <v>#N/A</v>
      </c>
      <c r="AE68" s="1" t="e">
        <f t="shared" si="54"/>
        <v>#N/A</v>
      </c>
      <c r="AF68" s="1" t="e">
        <f t="shared" si="55"/>
        <v>#N/A</v>
      </c>
      <c r="AH68" s="1">
        <f>IF(Table1[[#This Row],[Type (TX, RX, TRX, Oscillator)]]="Oscillator",Table1[[#This Row],[Frequency (GHz)]],#N/A)</f>
        <v>605</v>
      </c>
      <c r="AI68" s="30">
        <f>IF(Table1[[#This Row],[Type (TX, RX, TRX, Oscillator)]]="Oscillator",DATE(Table1[[#This Row],[Year ]],Table1[[#This Row],[Month]],1),#N/A)</f>
        <v>44228</v>
      </c>
      <c r="AJ68" s="1">
        <f>IF(Table1[[#This Row],[Type (TX, RX, TRX, Oscillator)]]="Oscillator",Table1[[#This Row],[Total Number of Elements (TX + RX)]],#N/A)</f>
        <v>1</v>
      </c>
      <c r="AK68" s="1" t="e">
        <f t="shared" si="56"/>
        <v>#N/A</v>
      </c>
      <c r="AL68" s="1" t="e">
        <f t="shared" si="57"/>
        <v>#N/A</v>
      </c>
      <c r="AM68" s="1" t="e">
        <f t="shared" si="58"/>
        <v>#N/A</v>
      </c>
      <c r="AN68" s="1" t="e">
        <f t="shared" si="59"/>
        <v>#N/A</v>
      </c>
      <c r="AO68" s="1" t="e">
        <f t="shared" si="60"/>
        <v>#N/A</v>
      </c>
      <c r="AP68" s="1" t="e">
        <f t="shared" si="61"/>
        <v>#N/A</v>
      </c>
      <c r="AQ68" s="1">
        <f t="shared" si="62"/>
        <v>1</v>
      </c>
      <c r="AS68" s="1" t="e">
        <f>IF(Table1[[#This Row],[Type (TX, RX, TRX, Oscillator)]]="Relay",Table1[[#This Row],[Frequency (GHz)]],#N/A)</f>
        <v>#N/A</v>
      </c>
      <c r="AT68" s="30" t="e">
        <f>IF(Table1[[#This Row],[Type (TX, RX, TRX, Oscillator)]]="Relay",DATE(Table1[[#This Row],[Year ]],Table1[[#This Row],[Month]],1),#N/A)</f>
        <v>#N/A</v>
      </c>
      <c r="AU68" s="1" t="e">
        <f>IF(Table1[[#This Row],[Type (TX, RX, TRX, Oscillator)]]="Relay",Table1[[#This Row],[Total Number of Elements (TX + RX)]],#N/A)</f>
        <v>#N/A</v>
      </c>
      <c r="AV68" s="1" t="e">
        <f t="shared" si="63"/>
        <v>#N/A</v>
      </c>
      <c r="AW68" s="1" t="e">
        <f t="shared" si="64"/>
        <v>#N/A</v>
      </c>
      <c r="AX68" s="1" t="e">
        <f t="shared" si="65"/>
        <v>#N/A</v>
      </c>
      <c r="AY68" s="1" t="e">
        <f t="shared" si="66"/>
        <v>#N/A</v>
      </c>
      <c r="AZ68" s="1" t="e">
        <f t="shared" si="67"/>
        <v>#N/A</v>
      </c>
      <c r="BA68" s="1" t="e">
        <f t="shared" si="68"/>
        <v>#N/A</v>
      </c>
      <c r="BB68" s="1" t="e">
        <f t="shared" si="69"/>
        <v>#N/A</v>
      </c>
    </row>
    <row r="69" spans="1:54" x14ac:dyDescent="0.2">
      <c r="A69" s="1" t="e">
        <f>IF(OR(Table1[[#This Row],[Type (TX, RX, TRX, Oscillator)]]="TX", Table1[[#This Row],[Type (TX, RX, TRX, Oscillator)]]="TX FE"),Table1[[#This Row],[Frequency (GHz)]],#N/A)</f>
        <v>#N/A</v>
      </c>
      <c r="B69" s="30" t="e">
        <f>IF(OR(Table1[[#This Row],[Type (TX, RX, TRX, Oscillator)]]="TX", Table1[[#This Row],[Type (TX, RX, TRX, Oscillator)]]="TX FE"),DATE(Table1[[#This Row],[Year ]],Table1[[#This Row],[Month]],1),#N/A)</f>
        <v>#N/A</v>
      </c>
      <c r="C69" s="1" t="e">
        <f>IF(OR(Table1[[#This Row],[Type (TX, RX, TRX, Oscillator)]]="TX",Table1[[#This Row],[Type (TX, RX, TRX, Oscillator)]]="TX FE"),Table1[[#This Row],[Total Number of Elements (TX + RX)]],#N/A)</f>
        <v>#N/A</v>
      </c>
      <c r="D69" s="1" t="e">
        <f t="shared" si="35"/>
        <v>#N/A</v>
      </c>
      <c r="E69" s="1" t="e">
        <f t="shared" si="36"/>
        <v>#N/A</v>
      </c>
      <c r="F69" s="1" t="e">
        <f t="shared" si="37"/>
        <v>#N/A</v>
      </c>
      <c r="G69" s="1" t="e">
        <f t="shared" si="38"/>
        <v>#N/A</v>
      </c>
      <c r="H69" s="1" t="e">
        <f t="shared" si="39"/>
        <v>#N/A</v>
      </c>
      <c r="I69" s="1" t="e">
        <f t="shared" si="40"/>
        <v>#N/A</v>
      </c>
      <c r="J69" s="1" t="e">
        <f t="shared" si="41"/>
        <v>#N/A</v>
      </c>
      <c r="L69" s="1" t="e">
        <f>IF(OR(Table1[[#This Row],[Type (TX, RX, TRX, Oscillator)]]="RX", Table1[[#This Row],[Type (TX, RX, TRX, Oscillator)]]="RX FE"),Table1[[#This Row],[Frequency (GHz)]],#N/A)</f>
        <v>#N/A</v>
      </c>
      <c r="M69" s="30" t="e">
        <f>IF(OR(Table1[[#This Row],[Type (TX, RX, TRX, Oscillator)]]="RX", Table1[[#This Row],[Type (TX, RX, TRX, Oscillator)]]="RX FE"),DATE(Table1[[#This Row],[Year ]],Table1[[#This Row],[Month]],1),#N/A)</f>
        <v>#N/A</v>
      </c>
      <c r="N69" s="1" t="e">
        <f>IF(OR(Table1[[#This Row],[Type (TX, RX, TRX, Oscillator)]]="RX", Table1[[#This Row],[Type (TX, RX, TRX, Oscillator)]]="RX FE"),Table1[[#This Row],[Total Number of Elements (TX + RX)]],#N/A)</f>
        <v>#N/A</v>
      </c>
      <c r="O69" s="1" t="e">
        <f t="shared" si="42"/>
        <v>#N/A</v>
      </c>
      <c r="P69" s="1" t="e">
        <f t="shared" si="43"/>
        <v>#N/A</v>
      </c>
      <c r="Q69" s="1" t="e">
        <f t="shared" si="44"/>
        <v>#N/A</v>
      </c>
      <c r="R69" s="1" t="e">
        <f t="shared" si="45"/>
        <v>#N/A</v>
      </c>
      <c r="S69" s="1" t="e">
        <f t="shared" si="46"/>
        <v>#N/A</v>
      </c>
      <c r="T69" s="1" t="e">
        <f t="shared" si="47"/>
        <v>#N/A</v>
      </c>
      <c r="U69" s="1" t="e">
        <f t="shared" si="48"/>
        <v>#N/A</v>
      </c>
      <c r="W69" s="1">
        <f>IF(OR(Table1[[#This Row],[Type (TX, RX, TRX, Oscillator)]]="TRX",Table1[[#This Row],[Type (TX, RX, TRX, Oscillator)]]="TRX FE"),Table1[[#This Row],[Frequency (GHz)]],#N/A)</f>
        <v>378</v>
      </c>
      <c r="X69" s="30">
        <f>IF(OR(Table1[[#This Row],[Type (TX, RX, TRX, Oscillator)]]="TRX", Table1[[#This Row],[Type (TX, RX, TRX, Oscillator)]]="TRX FE"),DATE(Table1[[#This Row],[Year ]],Table1[[#This Row],[Month]],1),#N/A)</f>
        <v>44228</v>
      </c>
      <c r="Y69" s="1">
        <f>IF(OR(Table1[[#This Row],[Type (TX, RX, TRX, Oscillator)]]="TRX", Table1[[#This Row],[Type (TX, RX, TRX, Oscillator)]]="TRX FE"),Table1[[#This Row],[Total Number of Elements (TX + RX)]],#N/A)</f>
        <v>4</v>
      </c>
      <c r="Z69" s="1" t="e">
        <f t="shared" si="49"/>
        <v>#N/A</v>
      </c>
      <c r="AA69" s="1" t="e">
        <f t="shared" si="50"/>
        <v>#N/A</v>
      </c>
      <c r="AB69" s="1" t="e">
        <f t="shared" si="51"/>
        <v>#N/A</v>
      </c>
      <c r="AC69" s="1" t="e">
        <f t="shared" si="52"/>
        <v>#N/A</v>
      </c>
      <c r="AD69" s="1" t="e">
        <f t="shared" si="53"/>
        <v>#N/A</v>
      </c>
      <c r="AE69" s="1" t="e">
        <f t="shared" si="54"/>
        <v>#N/A</v>
      </c>
      <c r="AF69" s="1">
        <f t="shared" si="55"/>
        <v>4</v>
      </c>
      <c r="AH69" s="1" t="e">
        <f>IF(Table1[[#This Row],[Type (TX, RX, TRX, Oscillator)]]="Oscillator",Table1[[#This Row],[Frequency (GHz)]],#N/A)</f>
        <v>#N/A</v>
      </c>
      <c r="AI69" s="30" t="e">
        <f>IF(Table1[[#This Row],[Type (TX, RX, TRX, Oscillator)]]="Oscillator",DATE(Table1[[#This Row],[Year ]],Table1[[#This Row],[Month]],1),#N/A)</f>
        <v>#N/A</v>
      </c>
      <c r="AJ69" s="1" t="e">
        <f>IF(Table1[[#This Row],[Type (TX, RX, TRX, Oscillator)]]="Oscillator",Table1[[#This Row],[Total Number of Elements (TX + RX)]],#N/A)</f>
        <v>#N/A</v>
      </c>
      <c r="AK69" s="1" t="e">
        <f t="shared" si="56"/>
        <v>#N/A</v>
      </c>
      <c r="AL69" s="1" t="e">
        <f t="shared" si="57"/>
        <v>#N/A</v>
      </c>
      <c r="AM69" s="1" t="e">
        <f t="shared" si="58"/>
        <v>#N/A</v>
      </c>
      <c r="AN69" s="1" t="e">
        <f t="shared" si="59"/>
        <v>#N/A</v>
      </c>
      <c r="AO69" s="1" t="e">
        <f t="shared" si="60"/>
        <v>#N/A</v>
      </c>
      <c r="AP69" s="1" t="e">
        <f t="shared" si="61"/>
        <v>#N/A</v>
      </c>
      <c r="AQ69" s="1" t="e">
        <f t="shared" si="62"/>
        <v>#N/A</v>
      </c>
      <c r="AS69" s="1" t="e">
        <f>IF(Table1[[#This Row],[Type (TX, RX, TRX, Oscillator)]]="Relay",Table1[[#This Row],[Frequency (GHz)]],#N/A)</f>
        <v>#N/A</v>
      </c>
      <c r="AT69" s="30" t="e">
        <f>IF(Table1[[#This Row],[Type (TX, RX, TRX, Oscillator)]]="Relay",DATE(Table1[[#This Row],[Year ]],Table1[[#This Row],[Month]],1),#N/A)</f>
        <v>#N/A</v>
      </c>
      <c r="AU69" s="1" t="e">
        <f>IF(Table1[[#This Row],[Type (TX, RX, TRX, Oscillator)]]="Relay",Table1[[#This Row],[Total Number of Elements (TX + RX)]],#N/A)</f>
        <v>#N/A</v>
      </c>
      <c r="AV69" s="1" t="e">
        <f t="shared" si="63"/>
        <v>#N/A</v>
      </c>
      <c r="AW69" s="1" t="e">
        <f t="shared" si="64"/>
        <v>#N/A</v>
      </c>
      <c r="AX69" s="1" t="e">
        <f t="shared" si="65"/>
        <v>#N/A</v>
      </c>
      <c r="AY69" s="1" t="e">
        <f t="shared" si="66"/>
        <v>#N/A</v>
      </c>
      <c r="AZ69" s="1" t="e">
        <f t="shared" si="67"/>
        <v>#N/A</v>
      </c>
      <c r="BA69" s="1" t="e">
        <f t="shared" si="68"/>
        <v>#N/A</v>
      </c>
      <c r="BB69" s="1" t="e">
        <f t="shared" si="69"/>
        <v>#N/A</v>
      </c>
    </row>
    <row r="70" spans="1:54" x14ac:dyDescent="0.2">
      <c r="A70" s="1">
        <f>IF(OR(Table1[[#This Row],[Type (TX, RX, TRX, Oscillator)]]="TX", Table1[[#This Row],[Type (TX, RX, TRX, Oscillator)]]="TX FE"),Table1[[#This Row],[Frequency (GHz)]],#N/A)</f>
        <v>60</v>
      </c>
      <c r="B70" s="30">
        <f>IF(OR(Table1[[#This Row],[Type (TX, RX, TRX, Oscillator)]]="TX", Table1[[#This Row],[Type (TX, RX, TRX, Oscillator)]]="TX FE"),DATE(Table1[[#This Row],[Year ]],Table1[[#This Row],[Month]],1),#N/A)</f>
        <v>44256</v>
      </c>
      <c r="C70" s="1">
        <f>IF(OR(Table1[[#This Row],[Type (TX, RX, TRX, Oscillator)]]="TX",Table1[[#This Row],[Type (TX, RX, TRX, Oscillator)]]="TX FE"),Table1[[#This Row],[Total Number of Elements (TX + RX)]],#N/A)</f>
        <v>1</v>
      </c>
      <c r="D70" s="1" t="e">
        <f t="shared" si="35"/>
        <v>#N/A</v>
      </c>
      <c r="E70" s="1" t="e">
        <f t="shared" si="36"/>
        <v>#N/A</v>
      </c>
      <c r="F70" s="1">
        <f t="shared" si="37"/>
        <v>1</v>
      </c>
      <c r="G70" s="1" t="e">
        <f t="shared" si="38"/>
        <v>#N/A</v>
      </c>
      <c r="H70" s="1" t="e">
        <f t="shared" si="39"/>
        <v>#N/A</v>
      </c>
      <c r="I70" s="1" t="e">
        <f t="shared" si="40"/>
        <v>#N/A</v>
      </c>
      <c r="J70" s="1" t="e">
        <f t="shared" si="41"/>
        <v>#N/A</v>
      </c>
      <c r="L70" s="1" t="e">
        <f>IF(OR(Table1[[#This Row],[Type (TX, RX, TRX, Oscillator)]]="RX", Table1[[#This Row],[Type (TX, RX, TRX, Oscillator)]]="RX FE"),Table1[[#This Row],[Frequency (GHz)]],#N/A)</f>
        <v>#N/A</v>
      </c>
      <c r="M70" s="30" t="e">
        <f>IF(OR(Table1[[#This Row],[Type (TX, RX, TRX, Oscillator)]]="RX", Table1[[#This Row],[Type (TX, RX, TRX, Oscillator)]]="RX FE"),DATE(Table1[[#This Row],[Year ]],Table1[[#This Row],[Month]],1),#N/A)</f>
        <v>#N/A</v>
      </c>
      <c r="N70" s="1" t="e">
        <f>IF(OR(Table1[[#This Row],[Type (TX, RX, TRX, Oscillator)]]="RX", Table1[[#This Row],[Type (TX, RX, TRX, Oscillator)]]="RX FE"),Table1[[#This Row],[Total Number of Elements (TX + RX)]],#N/A)</f>
        <v>#N/A</v>
      </c>
      <c r="O70" s="1" t="e">
        <f t="shared" si="42"/>
        <v>#N/A</v>
      </c>
      <c r="P70" s="1" t="e">
        <f t="shared" si="43"/>
        <v>#N/A</v>
      </c>
      <c r="Q70" s="1" t="e">
        <f t="shared" si="44"/>
        <v>#N/A</v>
      </c>
      <c r="R70" s="1" t="e">
        <f t="shared" si="45"/>
        <v>#N/A</v>
      </c>
      <c r="S70" s="1" t="e">
        <f t="shared" si="46"/>
        <v>#N/A</v>
      </c>
      <c r="T70" s="1" t="e">
        <f t="shared" si="47"/>
        <v>#N/A</v>
      </c>
      <c r="U70" s="1" t="e">
        <f t="shared" si="48"/>
        <v>#N/A</v>
      </c>
      <c r="W70" s="1" t="e">
        <f>IF(OR(Table1[[#This Row],[Type (TX, RX, TRX, Oscillator)]]="TRX",Table1[[#This Row],[Type (TX, RX, TRX, Oscillator)]]="TRX FE"),Table1[[#This Row],[Frequency (GHz)]],#N/A)</f>
        <v>#N/A</v>
      </c>
      <c r="X70" s="30" t="e">
        <f>IF(OR(Table1[[#This Row],[Type (TX, RX, TRX, Oscillator)]]="TRX", Table1[[#This Row],[Type (TX, RX, TRX, Oscillator)]]="TRX FE"),DATE(Table1[[#This Row],[Year ]],Table1[[#This Row],[Month]],1),#N/A)</f>
        <v>#N/A</v>
      </c>
      <c r="Y70" s="1" t="e">
        <f>IF(OR(Table1[[#This Row],[Type (TX, RX, TRX, Oscillator)]]="TRX", Table1[[#This Row],[Type (TX, RX, TRX, Oscillator)]]="TRX FE"),Table1[[#This Row],[Total Number of Elements (TX + RX)]],#N/A)</f>
        <v>#N/A</v>
      </c>
      <c r="Z70" s="1" t="e">
        <f t="shared" si="49"/>
        <v>#N/A</v>
      </c>
      <c r="AA70" s="1" t="e">
        <f t="shared" si="50"/>
        <v>#N/A</v>
      </c>
      <c r="AB70" s="1" t="e">
        <f t="shared" si="51"/>
        <v>#N/A</v>
      </c>
      <c r="AC70" s="1" t="e">
        <f t="shared" si="52"/>
        <v>#N/A</v>
      </c>
      <c r="AD70" s="1" t="e">
        <f t="shared" si="53"/>
        <v>#N/A</v>
      </c>
      <c r="AE70" s="1" t="e">
        <f t="shared" si="54"/>
        <v>#N/A</v>
      </c>
      <c r="AF70" s="1" t="e">
        <f t="shared" si="55"/>
        <v>#N/A</v>
      </c>
      <c r="AH70" s="1" t="e">
        <f>IF(Table1[[#This Row],[Type (TX, RX, TRX, Oscillator)]]="Oscillator",Table1[[#This Row],[Frequency (GHz)]],#N/A)</f>
        <v>#N/A</v>
      </c>
      <c r="AI70" s="30" t="e">
        <f>IF(Table1[[#This Row],[Type (TX, RX, TRX, Oscillator)]]="Oscillator",DATE(Table1[[#This Row],[Year ]],Table1[[#This Row],[Month]],1),#N/A)</f>
        <v>#N/A</v>
      </c>
      <c r="AJ70" s="1" t="e">
        <f>IF(Table1[[#This Row],[Type (TX, RX, TRX, Oscillator)]]="Oscillator",Table1[[#This Row],[Total Number of Elements (TX + RX)]],#N/A)</f>
        <v>#N/A</v>
      </c>
      <c r="AK70" s="1" t="e">
        <f t="shared" si="56"/>
        <v>#N/A</v>
      </c>
      <c r="AL70" s="1" t="e">
        <f t="shared" si="57"/>
        <v>#N/A</v>
      </c>
      <c r="AM70" s="1" t="e">
        <f t="shared" si="58"/>
        <v>#N/A</v>
      </c>
      <c r="AN70" s="1" t="e">
        <f t="shared" si="59"/>
        <v>#N/A</v>
      </c>
      <c r="AO70" s="1" t="e">
        <f t="shared" si="60"/>
        <v>#N/A</v>
      </c>
      <c r="AP70" s="1" t="e">
        <f t="shared" si="61"/>
        <v>#N/A</v>
      </c>
      <c r="AQ70" s="1" t="e">
        <f t="shared" si="62"/>
        <v>#N/A</v>
      </c>
      <c r="AS70" s="1" t="e">
        <f>IF(Table1[[#This Row],[Type (TX, RX, TRX, Oscillator)]]="Relay",Table1[[#This Row],[Frequency (GHz)]],#N/A)</f>
        <v>#N/A</v>
      </c>
      <c r="AT70" s="30" t="e">
        <f>IF(Table1[[#This Row],[Type (TX, RX, TRX, Oscillator)]]="Relay",DATE(Table1[[#This Row],[Year ]],Table1[[#This Row],[Month]],1),#N/A)</f>
        <v>#N/A</v>
      </c>
      <c r="AU70" s="1" t="e">
        <f>IF(Table1[[#This Row],[Type (TX, RX, TRX, Oscillator)]]="Relay",Table1[[#This Row],[Total Number of Elements (TX + RX)]],#N/A)</f>
        <v>#N/A</v>
      </c>
      <c r="AV70" s="1" t="e">
        <f t="shared" si="63"/>
        <v>#N/A</v>
      </c>
      <c r="AW70" s="1" t="e">
        <f t="shared" si="64"/>
        <v>#N/A</v>
      </c>
      <c r="AX70" s="1" t="e">
        <f t="shared" si="65"/>
        <v>#N/A</v>
      </c>
      <c r="AY70" s="1" t="e">
        <f t="shared" si="66"/>
        <v>#N/A</v>
      </c>
      <c r="AZ70" s="1" t="e">
        <f t="shared" si="67"/>
        <v>#N/A</v>
      </c>
      <c r="BA70" s="1" t="e">
        <f t="shared" si="68"/>
        <v>#N/A</v>
      </c>
      <c r="BB70" s="1" t="e">
        <f t="shared" si="69"/>
        <v>#N/A</v>
      </c>
    </row>
    <row r="71" spans="1:54" x14ac:dyDescent="0.2">
      <c r="A71" s="1" t="e">
        <f>IF(OR(Table1[[#This Row],[Type (TX, RX, TRX, Oscillator)]]="TX", Table1[[#This Row],[Type (TX, RX, TRX, Oscillator)]]="TX FE"),Table1[[#This Row],[Frequency (GHz)]],#N/A)</f>
        <v>#N/A</v>
      </c>
      <c r="B71" s="30" t="e">
        <f>IF(OR(Table1[[#This Row],[Type (TX, RX, TRX, Oscillator)]]="TX", Table1[[#This Row],[Type (TX, RX, TRX, Oscillator)]]="TX FE"),DATE(Table1[[#This Row],[Year ]],Table1[[#This Row],[Month]],1),#N/A)</f>
        <v>#N/A</v>
      </c>
      <c r="C71" s="1" t="e">
        <f>IF(OR(Table1[[#This Row],[Type (TX, RX, TRX, Oscillator)]]="TX",Table1[[#This Row],[Type (TX, RX, TRX, Oscillator)]]="TX FE"),Table1[[#This Row],[Total Number of Elements (TX + RX)]],#N/A)</f>
        <v>#N/A</v>
      </c>
      <c r="D71" s="1" t="e">
        <f t="shared" si="35"/>
        <v>#N/A</v>
      </c>
      <c r="E71" s="1" t="e">
        <f t="shared" si="36"/>
        <v>#N/A</v>
      </c>
      <c r="F71" s="1" t="e">
        <f t="shared" si="37"/>
        <v>#N/A</v>
      </c>
      <c r="G71" s="1" t="e">
        <f t="shared" si="38"/>
        <v>#N/A</v>
      </c>
      <c r="H71" s="1" t="e">
        <f t="shared" si="39"/>
        <v>#N/A</v>
      </c>
      <c r="I71" s="1" t="e">
        <f t="shared" si="40"/>
        <v>#N/A</v>
      </c>
      <c r="J71" s="1" t="e">
        <f t="shared" si="41"/>
        <v>#N/A</v>
      </c>
      <c r="L71" s="1">
        <f>IF(OR(Table1[[#This Row],[Type (TX, RX, TRX, Oscillator)]]="RX", Table1[[#This Row],[Type (TX, RX, TRX, Oscillator)]]="RX FE"),Table1[[#This Row],[Frequency (GHz)]],#N/A)</f>
        <v>11.7</v>
      </c>
      <c r="M71" s="30">
        <f>IF(OR(Table1[[#This Row],[Type (TX, RX, TRX, Oscillator)]]="RX", Table1[[#This Row],[Type (TX, RX, TRX, Oscillator)]]="RX FE"),DATE(Table1[[#This Row],[Year ]],Table1[[#This Row],[Month]],1),#N/A)</f>
        <v>44317</v>
      </c>
      <c r="N71" s="1">
        <f>IF(OR(Table1[[#This Row],[Type (TX, RX, TRX, Oscillator)]]="RX", Table1[[#This Row],[Type (TX, RX, TRX, Oscillator)]]="RX FE"),Table1[[#This Row],[Total Number of Elements (TX + RX)]],#N/A)</f>
        <v>256</v>
      </c>
      <c r="O71" s="1">
        <f t="shared" si="42"/>
        <v>256</v>
      </c>
      <c r="P71" s="1" t="e">
        <f t="shared" si="43"/>
        <v>#N/A</v>
      </c>
      <c r="Q71" s="1" t="e">
        <f t="shared" si="44"/>
        <v>#N/A</v>
      </c>
      <c r="R71" s="1" t="e">
        <f t="shared" si="45"/>
        <v>#N/A</v>
      </c>
      <c r="S71" s="1" t="e">
        <f t="shared" si="46"/>
        <v>#N/A</v>
      </c>
      <c r="T71" s="1" t="e">
        <f t="shared" si="47"/>
        <v>#N/A</v>
      </c>
      <c r="U71" s="1" t="e">
        <f t="shared" si="48"/>
        <v>#N/A</v>
      </c>
      <c r="W71" s="1" t="e">
        <f>IF(OR(Table1[[#This Row],[Type (TX, RX, TRX, Oscillator)]]="TRX",Table1[[#This Row],[Type (TX, RX, TRX, Oscillator)]]="TRX FE"),Table1[[#This Row],[Frequency (GHz)]],#N/A)</f>
        <v>#N/A</v>
      </c>
      <c r="X71" s="30" t="e">
        <f>IF(OR(Table1[[#This Row],[Type (TX, RX, TRX, Oscillator)]]="TRX", Table1[[#This Row],[Type (TX, RX, TRX, Oscillator)]]="TRX FE"),DATE(Table1[[#This Row],[Year ]],Table1[[#This Row],[Month]],1),#N/A)</f>
        <v>#N/A</v>
      </c>
      <c r="Y71" s="1" t="e">
        <f>IF(OR(Table1[[#This Row],[Type (TX, RX, TRX, Oscillator)]]="TRX", Table1[[#This Row],[Type (TX, RX, TRX, Oscillator)]]="TRX FE"),Table1[[#This Row],[Total Number of Elements (TX + RX)]],#N/A)</f>
        <v>#N/A</v>
      </c>
      <c r="Z71" s="1" t="e">
        <f t="shared" si="49"/>
        <v>#N/A</v>
      </c>
      <c r="AA71" s="1" t="e">
        <f t="shared" si="50"/>
        <v>#N/A</v>
      </c>
      <c r="AB71" s="1" t="e">
        <f t="shared" si="51"/>
        <v>#N/A</v>
      </c>
      <c r="AC71" s="1" t="e">
        <f t="shared" si="52"/>
        <v>#N/A</v>
      </c>
      <c r="AD71" s="1" t="e">
        <f t="shared" si="53"/>
        <v>#N/A</v>
      </c>
      <c r="AE71" s="1" t="e">
        <f t="shared" si="54"/>
        <v>#N/A</v>
      </c>
      <c r="AF71" s="1" t="e">
        <f t="shared" si="55"/>
        <v>#N/A</v>
      </c>
      <c r="AH71" s="1" t="e">
        <f>IF(Table1[[#This Row],[Type (TX, RX, TRX, Oscillator)]]="Oscillator",Table1[[#This Row],[Frequency (GHz)]],#N/A)</f>
        <v>#N/A</v>
      </c>
      <c r="AI71" s="30" t="e">
        <f>IF(Table1[[#This Row],[Type (TX, RX, TRX, Oscillator)]]="Oscillator",DATE(Table1[[#This Row],[Year ]],Table1[[#This Row],[Month]],1),#N/A)</f>
        <v>#N/A</v>
      </c>
      <c r="AJ71" s="1" t="e">
        <f>IF(Table1[[#This Row],[Type (TX, RX, TRX, Oscillator)]]="Oscillator",Table1[[#This Row],[Total Number of Elements (TX + RX)]],#N/A)</f>
        <v>#N/A</v>
      </c>
      <c r="AK71" s="1" t="e">
        <f t="shared" si="56"/>
        <v>#N/A</v>
      </c>
      <c r="AL71" s="1" t="e">
        <f t="shared" si="57"/>
        <v>#N/A</v>
      </c>
      <c r="AM71" s="1" t="e">
        <f t="shared" si="58"/>
        <v>#N/A</v>
      </c>
      <c r="AN71" s="1" t="e">
        <f t="shared" si="59"/>
        <v>#N/A</v>
      </c>
      <c r="AO71" s="1" t="e">
        <f t="shared" si="60"/>
        <v>#N/A</v>
      </c>
      <c r="AP71" s="1" t="e">
        <f t="shared" si="61"/>
        <v>#N/A</v>
      </c>
      <c r="AQ71" s="1" t="e">
        <f t="shared" si="62"/>
        <v>#N/A</v>
      </c>
      <c r="AS71" s="1" t="e">
        <f>IF(Table1[[#This Row],[Type (TX, RX, TRX, Oscillator)]]="Relay",Table1[[#This Row],[Frequency (GHz)]],#N/A)</f>
        <v>#N/A</v>
      </c>
      <c r="AT71" s="30" t="e">
        <f>IF(Table1[[#This Row],[Type (TX, RX, TRX, Oscillator)]]="Relay",DATE(Table1[[#This Row],[Year ]],Table1[[#This Row],[Month]],1),#N/A)</f>
        <v>#N/A</v>
      </c>
      <c r="AU71" s="1" t="e">
        <f>IF(Table1[[#This Row],[Type (TX, RX, TRX, Oscillator)]]="Relay",Table1[[#This Row],[Total Number of Elements (TX + RX)]],#N/A)</f>
        <v>#N/A</v>
      </c>
      <c r="AV71" s="1" t="e">
        <f t="shared" si="63"/>
        <v>#N/A</v>
      </c>
      <c r="AW71" s="1" t="e">
        <f t="shared" si="64"/>
        <v>#N/A</v>
      </c>
      <c r="AX71" s="1" t="e">
        <f t="shared" si="65"/>
        <v>#N/A</v>
      </c>
      <c r="AY71" s="1" t="e">
        <f t="shared" si="66"/>
        <v>#N/A</v>
      </c>
      <c r="AZ71" s="1" t="e">
        <f t="shared" si="67"/>
        <v>#N/A</v>
      </c>
      <c r="BA71" s="1" t="e">
        <f t="shared" si="68"/>
        <v>#N/A</v>
      </c>
      <c r="BB71" s="1" t="e">
        <f t="shared" si="69"/>
        <v>#N/A</v>
      </c>
    </row>
    <row r="72" spans="1:54" x14ac:dyDescent="0.2">
      <c r="A72" s="1">
        <f>IF(OR(Table1[[#This Row],[Type (TX, RX, TRX, Oscillator)]]="TX", Table1[[#This Row],[Type (TX, RX, TRX, Oscillator)]]="TX FE"),Table1[[#This Row],[Frequency (GHz)]],#N/A)</f>
        <v>14</v>
      </c>
      <c r="B72" s="30">
        <f>IF(OR(Table1[[#This Row],[Type (TX, RX, TRX, Oscillator)]]="TX", Table1[[#This Row],[Type (TX, RX, TRX, Oscillator)]]="TX FE"),DATE(Table1[[#This Row],[Year ]],Table1[[#This Row],[Month]],1),#N/A)</f>
        <v>44317</v>
      </c>
      <c r="C72" s="1">
        <f>IF(OR(Table1[[#This Row],[Type (TX, RX, TRX, Oscillator)]]="TX",Table1[[#This Row],[Type (TX, RX, TRX, Oscillator)]]="TX FE"),Table1[[#This Row],[Total Number of Elements (TX + RX)]],#N/A)</f>
        <v>256</v>
      </c>
      <c r="D72" s="1">
        <f t="shared" si="35"/>
        <v>256</v>
      </c>
      <c r="E72" s="1" t="e">
        <f t="shared" si="36"/>
        <v>#N/A</v>
      </c>
      <c r="F72" s="1" t="e">
        <f t="shared" si="37"/>
        <v>#N/A</v>
      </c>
      <c r="G72" s="1" t="e">
        <f t="shared" si="38"/>
        <v>#N/A</v>
      </c>
      <c r="H72" s="1" t="e">
        <f t="shared" si="39"/>
        <v>#N/A</v>
      </c>
      <c r="I72" s="1" t="e">
        <f t="shared" si="40"/>
        <v>#N/A</v>
      </c>
      <c r="J72" s="1" t="e">
        <f t="shared" si="41"/>
        <v>#N/A</v>
      </c>
      <c r="L72" s="1" t="e">
        <f>IF(OR(Table1[[#This Row],[Type (TX, RX, TRX, Oscillator)]]="RX", Table1[[#This Row],[Type (TX, RX, TRX, Oscillator)]]="RX FE"),Table1[[#This Row],[Frequency (GHz)]],#N/A)</f>
        <v>#N/A</v>
      </c>
      <c r="M72" s="30" t="e">
        <f>IF(OR(Table1[[#This Row],[Type (TX, RX, TRX, Oscillator)]]="RX", Table1[[#This Row],[Type (TX, RX, TRX, Oscillator)]]="RX FE"),DATE(Table1[[#This Row],[Year ]],Table1[[#This Row],[Month]],1),#N/A)</f>
        <v>#N/A</v>
      </c>
      <c r="N72" s="1" t="e">
        <f>IF(OR(Table1[[#This Row],[Type (TX, RX, TRX, Oscillator)]]="RX", Table1[[#This Row],[Type (TX, RX, TRX, Oscillator)]]="RX FE"),Table1[[#This Row],[Total Number of Elements (TX + RX)]],#N/A)</f>
        <v>#N/A</v>
      </c>
      <c r="O72" s="1" t="e">
        <f t="shared" si="42"/>
        <v>#N/A</v>
      </c>
      <c r="P72" s="1" t="e">
        <f t="shared" si="43"/>
        <v>#N/A</v>
      </c>
      <c r="Q72" s="1" t="e">
        <f t="shared" si="44"/>
        <v>#N/A</v>
      </c>
      <c r="R72" s="1" t="e">
        <f t="shared" si="45"/>
        <v>#N/A</v>
      </c>
      <c r="S72" s="1" t="e">
        <f t="shared" si="46"/>
        <v>#N/A</v>
      </c>
      <c r="T72" s="1" t="e">
        <f t="shared" si="47"/>
        <v>#N/A</v>
      </c>
      <c r="U72" s="1" t="e">
        <f t="shared" si="48"/>
        <v>#N/A</v>
      </c>
      <c r="W72" s="1" t="e">
        <f>IF(OR(Table1[[#This Row],[Type (TX, RX, TRX, Oscillator)]]="TRX",Table1[[#This Row],[Type (TX, RX, TRX, Oscillator)]]="TRX FE"),Table1[[#This Row],[Frequency (GHz)]],#N/A)</f>
        <v>#N/A</v>
      </c>
      <c r="X72" s="30" t="e">
        <f>IF(OR(Table1[[#This Row],[Type (TX, RX, TRX, Oscillator)]]="TRX", Table1[[#This Row],[Type (TX, RX, TRX, Oscillator)]]="TRX FE"),DATE(Table1[[#This Row],[Year ]],Table1[[#This Row],[Month]],1),#N/A)</f>
        <v>#N/A</v>
      </c>
      <c r="Y72" s="1" t="e">
        <f>IF(OR(Table1[[#This Row],[Type (TX, RX, TRX, Oscillator)]]="TRX", Table1[[#This Row],[Type (TX, RX, TRX, Oscillator)]]="TRX FE"),Table1[[#This Row],[Total Number of Elements (TX + RX)]],#N/A)</f>
        <v>#N/A</v>
      </c>
      <c r="Z72" s="1" t="e">
        <f t="shared" si="49"/>
        <v>#N/A</v>
      </c>
      <c r="AA72" s="1" t="e">
        <f t="shared" si="50"/>
        <v>#N/A</v>
      </c>
      <c r="AB72" s="1" t="e">
        <f t="shared" si="51"/>
        <v>#N/A</v>
      </c>
      <c r="AC72" s="1" t="e">
        <f t="shared" si="52"/>
        <v>#N/A</v>
      </c>
      <c r="AD72" s="1" t="e">
        <f t="shared" si="53"/>
        <v>#N/A</v>
      </c>
      <c r="AE72" s="1" t="e">
        <f t="shared" si="54"/>
        <v>#N/A</v>
      </c>
      <c r="AF72" s="1" t="e">
        <f t="shared" si="55"/>
        <v>#N/A</v>
      </c>
      <c r="AH72" s="1" t="e">
        <f>IF(Table1[[#This Row],[Type (TX, RX, TRX, Oscillator)]]="Oscillator",Table1[[#This Row],[Frequency (GHz)]],#N/A)</f>
        <v>#N/A</v>
      </c>
      <c r="AI72" s="30" t="e">
        <f>IF(Table1[[#This Row],[Type (TX, RX, TRX, Oscillator)]]="Oscillator",DATE(Table1[[#This Row],[Year ]],Table1[[#This Row],[Month]],1),#N/A)</f>
        <v>#N/A</v>
      </c>
      <c r="AJ72" s="1" t="e">
        <f>IF(Table1[[#This Row],[Type (TX, RX, TRX, Oscillator)]]="Oscillator",Table1[[#This Row],[Total Number of Elements (TX + RX)]],#N/A)</f>
        <v>#N/A</v>
      </c>
      <c r="AK72" s="1" t="e">
        <f t="shared" si="56"/>
        <v>#N/A</v>
      </c>
      <c r="AL72" s="1" t="e">
        <f t="shared" si="57"/>
        <v>#N/A</v>
      </c>
      <c r="AM72" s="1" t="e">
        <f t="shared" si="58"/>
        <v>#N/A</v>
      </c>
      <c r="AN72" s="1" t="e">
        <f t="shared" si="59"/>
        <v>#N/A</v>
      </c>
      <c r="AO72" s="1" t="e">
        <f t="shared" si="60"/>
        <v>#N/A</v>
      </c>
      <c r="AP72" s="1" t="e">
        <f t="shared" si="61"/>
        <v>#N/A</v>
      </c>
      <c r="AQ72" s="1" t="e">
        <f t="shared" si="62"/>
        <v>#N/A</v>
      </c>
      <c r="AS72" s="1" t="e">
        <f>IF(Table1[[#This Row],[Type (TX, RX, TRX, Oscillator)]]="Relay",Table1[[#This Row],[Frequency (GHz)]],#N/A)</f>
        <v>#N/A</v>
      </c>
      <c r="AT72" s="30" t="e">
        <f>IF(Table1[[#This Row],[Type (TX, RX, TRX, Oscillator)]]="Relay",DATE(Table1[[#This Row],[Year ]],Table1[[#This Row],[Month]],1),#N/A)</f>
        <v>#N/A</v>
      </c>
      <c r="AU72" s="1" t="e">
        <f>IF(Table1[[#This Row],[Type (TX, RX, TRX, Oscillator)]]="Relay",Table1[[#This Row],[Total Number of Elements (TX + RX)]],#N/A)</f>
        <v>#N/A</v>
      </c>
      <c r="AV72" s="1" t="e">
        <f t="shared" si="63"/>
        <v>#N/A</v>
      </c>
      <c r="AW72" s="1" t="e">
        <f t="shared" si="64"/>
        <v>#N/A</v>
      </c>
      <c r="AX72" s="1" t="e">
        <f t="shared" si="65"/>
        <v>#N/A</v>
      </c>
      <c r="AY72" s="1" t="e">
        <f t="shared" si="66"/>
        <v>#N/A</v>
      </c>
      <c r="AZ72" s="1" t="e">
        <f t="shared" si="67"/>
        <v>#N/A</v>
      </c>
      <c r="BA72" s="1" t="e">
        <f t="shared" si="68"/>
        <v>#N/A</v>
      </c>
      <c r="BB72" s="1" t="e">
        <f t="shared" si="69"/>
        <v>#N/A</v>
      </c>
    </row>
    <row r="73" spans="1:54" x14ac:dyDescent="0.2">
      <c r="A73" s="1" t="e">
        <f>IF(OR(Table1[[#This Row],[Type (TX, RX, TRX, Oscillator)]]="TX", Table1[[#This Row],[Type (TX, RX, TRX, Oscillator)]]="TX FE"),Table1[[#This Row],[Frequency (GHz)]],#N/A)</f>
        <v>#N/A</v>
      </c>
      <c r="B73" s="30" t="e">
        <f>IF(OR(Table1[[#This Row],[Type (TX, RX, TRX, Oscillator)]]="TX", Table1[[#This Row],[Type (TX, RX, TRX, Oscillator)]]="TX FE"),DATE(Table1[[#This Row],[Year ]],Table1[[#This Row],[Month]],1),#N/A)</f>
        <v>#N/A</v>
      </c>
      <c r="C73" s="1" t="e">
        <f>IF(OR(Table1[[#This Row],[Type (TX, RX, TRX, Oscillator)]]="TX",Table1[[#This Row],[Type (TX, RX, TRX, Oscillator)]]="TX FE"),Table1[[#This Row],[Total Number of Elements (TX + RX)]],#N/A)</f>
        <v>#N/A</v>
      </c>
      <c r="D73" s="1" t="e">
        <f t="shared" si="35"/>
        <v>#N/A</v>
      </c>
      <c r="E73" s="1" t="e">
        <f t="shared" si="36"/>
        <v>#N/A</v>
      </c>
      <c r="F73" s="1" t="e">
        <f t="shared" si="37"/>
        <v>#N/A</v>
      </c>
      <c r="G73" s="1" t="e">
        <f t="shared" si="38"/>
        <v>#N/A</v>
      </c>
      <c r="H73" s="1" t="e">
        <f t="shared" si="39"/>
        <v>#N/A</v>
      </c>
      <c r="I73" s="1" t="e">
        <f t="shared" si="40"/>
        <v>#N/A</v>
      </c>
      <c r="J73" s="1" t="e">
        <f t="shared" si="41"/>
        <v>#N/A</v>
      </c>
      <c r="L73" s="1" t="e">
        <f>IF(OR(Table1[[#This Row],[Type (TX, RX, TRX, Oscillator)]]="RX", Table1[[#This Row],[Type (TX, RX, TRX, Oscillator)]]="RX FE"),Table1[[#This Row],[Frequency (GHz)]],#N/A)</f>
        <v>#N/A</v>
      </c>
      <c r="M73" s="30" t="e">
        <f>IF(OR(Table1[[#This Row],[Type (TX, RX, TRX, Oscillator)]]="RX", Table1[[#This Row],[Type (TX, RX, TRX, Oscillator)]]="RX FE"),DATE(Table1[[#This Row],[Year ]],Table1[[#This Row],[Month]],1),#N/A)</f>
        <v>#N/A</v>
      </c>
      <c r="N73" s="1" t="e">
        <f>IF(OR(Table1[[#This Row],[Type (TX, RX, TRX, Oscillator)]]="RX", Table1[[#This Row],[Type (TX, RX, TRX, Oscillator)]]="RX FE"),Table1[[#This Row],[Total Number of Elements (TX + RX)]],#N/A)</f>
        <v>#N/A</v>
      </c>
      <c r="O73" s="1" t="e">
        <f t="shared" si="42"/>
        <v>#N/A</v>
      </c>
      <c r="P73" s="1" t="e">
        <f t="shared" si="43"/>
        <v>#N/A</v>
      </c>
      <c r="Q73" s="1" t="e">
        <f t="shared" si="44"/>
        <v>#N/A</v>
      </c>
      <c r="R73" s="1" t="e">
        <f t="shared" si="45"/>
        <v>#N/A</v>
      </c>
      <c r="S73" s="1" t="e">
        <f t="shared" si="46"/>
        <v>#N/A</v>
      </c>
      <c r="T73" s="1" t="e">
        <f t="shared" si="47"/>
        <v>#N/A</v>
      </c>
      <c r="U73" s="1" t="e">
        <f t="shared" si="48"/>
        <v>#N/A</v>
      </c>
      <c r="W73" s="1" t="e">
        <f>IF(OR(Table1[[#This Row],[Type (TX, RX, TRX, Oscillator)]]="TRX",Table1[[#This Row],[Type (TX, RX, TRX, Oscillator)]]="TRX FE"),Table1[[#This Row],[Frequency (GHz)]],#N/A)</f>
        <v>#N/A</v>
      </c>
      <c r="X73" s="30" t="e">
        <f>IF(OR(Table1[[#This Row],[Type (TX, RX, TRX, Oscillator)]]="TRX", Table1[[#This Row],[Type (TX, RX, TRX, Oscillator)]]="TRX FE"),DATE(Table1[[#This Row],[Year ]],Table1[[#This Row],[Month]],1),#N/A)</f>
        <v>#N/A</v>
      </c>
      <c r="Y73" s="1" t="e">
        <f>IF(OR(Table1[[#This Row],[Type (TX, RX, TRX, Oscillator)]]="TRX", Table1[[#This Row],[Type (TX, RX, TRX, Oscillator)]]="TRX FE"),Table1[[#This Row],[Total Number of Elements (TX + RX)]],#N/A)</f>
        <v>#N/A</v>
      </c>
      <c r="Z73" s="1" t="e">
        <f t="shared" si="49"/>
        <v>#N/A</v>
      </c>
      <c r="AA73" s="1" t="e">
        <f t="shared" si="50"/>
        <v>#N/A</v>
      </c>
      <c r="AB73" s="1" t="e">
        <f t="shared" si="51"/>
        <v>#N/A</v>
      </c>
      <c r="AC73" s="1" t="e">
        <f t="shared" si="52"/>
        <v>#N/A</v>
      </c>
      <c r="AD73" s="1" t="e">
        <f t="shared" si="53"/>
        <v>#N/A</v>
      </c>
      <c r="AE73" s="1" t="e">
        <f t="shared" si="54"/>
        <v>#N/A</v>
      </c>
      <c r="AF73" s="1" t="e">
        <f t="shared" si="55"/>
        <v>#N/A</v>
      </c>
      <c r="AH73" s="1" t="e">
        <f>IF(Table1[[#This Row],[Type (TX, RX, TRX, Oscillator)]]="Oscillator",Table1[[#This Row],[Frequency (GHz)]],#N/A)</f>
        <v>#N/A</v>
      </c>
      <c r="AI73" s="30" t="e">
        <f>IF(Table1[[#This Row],[Type (TX, RX, TRX, Oscillator)]]="Oscillator",DATE(Table1[[#This Row],[Year ]],Table1[[#This Row],[Month]],1),#N/A)</f>
        <v>#N/A</v>
      </c>
      <c r="AJ73" s="1" t="e">
        <f>IF(Table1[[#This Row],[Type (TX, RX, TRX, Oscillator)]]="Oscillator",Table1[[#This Row],[Total Number of Elements (TX + RX)]],#N/A)</f>
        <v>#N/A</v>
      </c>
      <c r="AK73" s="1" t="e">
        <f t="shared" si="56"/>
        <v>#N/A</v>
      </c>
      <c r="AL73" s="1" t="e">
        <f t="shared" si="57"/>
        <v>#N/A</v>
      </c>
      <c r="AM73" s="1" t="e">
        <f t="shared" si="58"/>
        <v>#N/A</v>
      </c>
      <c r="AN73" s="1" t="e">
        <f t="shared" si="59"/>
        <v>#N/A</v>
      </c>
      <c r="AO73" s="1" t="e">
        <f t="shared" si="60"/>
        <v>#N/A</v>
      </c>
      <c r="AP73" s="1" t="e">
        <f t="shared" si="61"/>
        <v>#N/A</v>
      </c>
      <c r="AQ73" s="1" t="e">
        <f t="shared" si="62"/>
        <v>#N/A</v>
      </c>
      <c r="AS73" s="1">
        <f>IF(Table1[[#This Row],[Type (TX, RX, TRX, Oscillator)]]="Relay",Table1[[#This Row],[Frequency (GHz)]],#N/A)</f>
        <v>29.5</v>
      </c>
      <c r="AT73" s="30">
        <f>IF(Table1[[#This Row],[Type (TX, RX, TRX, Oscillator)]]="Relay",DATE(Table1[[#This Row],[Year ]],Table1[[#This Row],[Month]],1),#N/A)</f>
        <v>44317</v>
      </c>
      <c r="AU73" s="1">
        <f>IF(Table1[[#This Row],[Type (TX, RX, TRX, Oscillator)]]="Relay",Table1[[#This Row],[Total Number of Elements (TX + RX)]],#N/A)</f>
        <v>0</v>
      </c>
      <c r="AV73" s="1" t="e">
        <f t="shared" si="63"/>
        <v>#N/A</v>
      </c>
      <c r="AW73" s="1">
        <f t="shared" si="64"/>
        <v>0</v>
      </c>
      <c r="AX73" s="1" t="e">
        <f t="shared" si="65"/>
        <v>#N/A</v>
      </c>
      <c r="AY73" s="1" t="e">
        <f t="shared" si="66"/>
        <v>#N/A</v>
      </c>
      <c r="AZ73" s="1" t="e">
        <f t="shared" si="67"/>
        <v>#N/A</v>
      </c>
      <c r="BA73" s="1" t="e">
        <f t="shared" si="68"/>
        <v>#N/A</v>
      </c>
      <c r="BB73" s="1" t="e">
        <f t="shared" si="69"/>
        <v>#N/A</v>
      </c>
    </row>
    <row r="74" spans="1:54" x14ac:dyDescent="0.2">
      <c r="A74" s="1" t="e">
        <f>IF(OR(Table1[[#This Row],[Type (TX, RX, TRX, Oscillator)]]="TX", Table1[[#This Row],[Type (TX, RX, TRX, Oscillator)]]="TX FE"),Table1[[#This Row],[Frequency (GHz)]],#N/A)</f>
        <v>#N/A</v>
      </c>
      <c r="B74" s="30" t="e">
        <f>IF(OR(Table1[[#This Row],[Type (TX, RX, TRX, Oscillator)]]="TX", Table1[[#This Row],[Type (TX, RX, TRX, Oscillator)]]="TX FE"),DATE(Table1[[#This Row],[Year ]],Table1[[#This Row],[Month]],1),#N/A)</f>
        <v>#N/A</v>
      </c>
      <c r="C74" s="1" t="e">
        <f>IF(OR(Table1[[#This Row],[Type (TX, RX, TRX, Oscillator)]]="TX",Table1[[#This Row],[Type (TX, RX, TRX, Oscillator)]]="TX FE"),Table1[[#This Row],[Total Number of Elements (TX + RX)]],#N/A)</f>
        <v>#N/A</v>
      </c>
      <c r="D74" s="1" t="e">
        <f t="shared" si="35"/>
        <v>#N/A</v>
      </c>
      <c r="E74" s="1" t="e">
        <f t="shared" si="36"/>
        <v>#N/A</v>
      </c>
      <c r="F74" s="1" t="e">
        <f t="shared" si="37"/>
        <v>#N/A</v>
      </c>
      <c r="G74" s="1" t="e">
        <f t="shared" si="38"/>
        <v>#N/A</v>
      </c>
      <c r="H74" s="1" t="e">
        <f t="shared" si="39"/>
        <v>#N/A</v>
      </c>
      <c r="I74" s="1" t="e">
        <f t="shared" si="40"/>
        <v>#N/A</v>
      </c>
      <c r="J74" s="1" t="e">
        <f t="shared" si="41"/>
        <v>#N/A</v>
      </c>
      <c r="L74" s="1" t="e">
        <f>IF(OR(Table1[[#This Row],[Type (TX, RX, TRX, Oscillator)]]="RX", Table1[[#This Row],[Type (TX, RX, TRX, Oscillator)]]="RX FE"),Table1[[#This Row],[Frequency (GHz)]],#N/A)</f>
        <v>#N/A</v>
      </c>
      <c r="M74" s="30" t="e">
        <f>IF(OR(Table1[[#This Row],[Type (TX, RX, TRX, Oscillator)]]="RX", Table1[[#This Row],[Type (TX, RX, TRX, Oscillator)]]="RX FE"),DATE(Table1[[#This Row],[Year ]],Table1[[#This Row],[Month]],1),#N/A)</f>
        <v>#N/A</v>
      </c>
      <c r="N74" s="1" t="e">
        <f>IF(OR(Table1[[#This Row],[Type (TX, RX, TRX, Oscillator)]]="RX", Table1[[#This Row],[Type (TX, RX, TRX, Oscillator)]]="RX FE"),Table1[[#This Row],[Total Number of Elements (TX + RX)]],#N/A)</f>
        <v>#N/A</v>
      </c>
      <c r="O74" s="1" t="e">
        <f t="shared" si="42"/>
        <v>#N/A</v>
      </c>
      <c r="P74" s="1" t="e">
        <f t="shared" si="43"/>
        <v>#N/A</v>
      </c>
      <c r="Q74" s="1" t="e">
        <f t="shared" si="44"/>
        <v>#N/A</v>
      </c>
      <c r="R74" s="1" t="e">
        <f t="shared" si="45"/>
        <v>#N/A</v>
      </c>
      <c r="S74" s="1" t="e">
        <f t="shared" si="46"/>
        <v>#N/A</v>
      </c>
      <c r="T74" s="1" t="e">
        <f t="shared" si="47"/>
        <v>#N/A</v>
      </c>
      <c r="U74" s="1" t="e">
        <f t="shared" si="48"/>
        <v>#N/A</v>
      </c>
      <c r="W74" s="1">
        <f>IF(OR(Table1[[#This Row],[Type (TX, RX, TRX, Oscillator)]]="TRX",Table1[[#This Row],[Type (TX, RX, TRX, Oscillator)]]="TRX FE"),Table1[[#This Row],[Frequency (GHz)]],#N/A)</f>
        <v>19</v>
      </c>
      <c r="X74" s="30">
        <f>IF(OR(Table1[[#This Row],[Type (TX, RX, TRX, Oscillator)]]="TRX", Table1[[#This Row],[Type (TX, RX, TRX, Oscillator)]]="TRX FE"),DATE(Table1[[#This Row],[Year ]],Table1[[#This Row],[Month]],1),#N/A)</f>
        <v>44348</v>
      </c>
      <c r="Y74" s="1">
        <f>IF(OR(Table1[[#This Row],[Type (TX, RX, TRX, Oscillator)]]="TRX", Table1[[#This Row],[Type (TX, RX, TRX, Oscillator)]]="TRX FE"),Table1[[#This Row],[Total Number of Elements (TX + RX)]],#N/A)</f>
        <v>8</v>
      </c>
      <c r="Z74" s="1">
        <f t="shared" si="49"/>
        <v>8</v>
      </c>
      <c r="AA74" s="1" t="e">
        <f t="shared" si="50"/>
        <v>#N/A</v>
      </c>
      <c r="AB74" s="1" t="e">
        <f t="shared" si="51"/>
        <v>#N/A</v>
      </c>
      <c r="AC74" s="1" t="e">
        <f t="shared" si="52"/>
        <v>#N/A</v>
      </c>
      <c r="AD74" s="1" t="e">
        <f t="shared" si="53"/>
        <v>#N/A</v>
      </c>
      <c r="AE74" s="1" t="e">
        <f t="shared" si="54"/>
        <v>#N/A</v>
      </c>
      <c r="AF74" s="1" t="e">
        <f t="shared" si="55"/>
        <v>#N/A</v>
      </c>
      <c r="AH74" s="1" t="e">
        <f>IF(Table1[[#This Row],[Type (TX, RX, TRX, Oscillator)]]="Oscillator",Table1[[#This Row],[Frequency (GHz)]],#N/A)</f>
        <v>#N/A</v>
      </c>
      <c r="AI74" s="30" t="e">
        <f>IF(Table1[[#This Row],[Type (TX, RX, TRX, Oscillator)]]="Oscillator",DATE(Table1[[#This Row],[Year ]],Table1[[#This Row],[Month]],1),#N/A)</f>
        <v>#N/A</v>
      </c>
      <c r="AJ74" s="1" t="e">
        <f>IF(Table1[[#This Row],[Type (TX, RX, TRX, Oscillator)]]="Oscillator",Table1[[#This Row],[Total Number of Elements (TX + RX)]],#N/A)</f>
        <v>#N/A</v>
      </c>
      <c r="AK74" s="1" t="e">
        <f t="shared" si="56"/>
        <v>#N/A</v>
      </c>
      <c r="AL74" s="1" t="e">
        <f t="shared" si="57"/>
        <v>#N/A</v>
      </c>
      <c r="AM74" s="1" t="e">
        <f t="shared" si="58"/>
        <v>#N/A</v>
      </c>
      <c r="AN74" s="1" t="e">
        <f t="shared" si="59"/>
        <v>#N/A</v>
      </c>
      <c r="AO74" s="1" t="e">
        <f t="shared" si="60"/>
        <v>#N/A</v>
      </c>
      <c r="AP74" s="1" t="e">
        <f t="shared" si="61"/>
        <v>#N/A</v>
      </c>
      <c r="AQ74" s="1" t="e">
        <f t="shared" si="62"/>
        <v>#N/A</v>
      </c>
      <c r="AS74" s="1" t="e">
        <f>IF(Table1[[#This Row],[Type (TX, RX, TRX, Oscillator)]]="Relay",Table1[[#This Row],[Frequency (GHz)]],#N/A)</f>
        <v>#N/A</v>
      </c>
      <c r="AT74" s="30" t="e">
        <f>IF(Table1[[#This Row],[Type (TX, RX, TRX, Oscillator)]]="Relay",DATE(Table1[[#This Row],[Year ]],Table1[[#This Row],[Month]],1),#N/A)</f>
        <v>#N/A</v>
      </c>
      <c r="AU74" s="1" t="e">
        <f>IF(Table1[[#This Row],[Type (TX, RX, TRX, Oscillator)]]="Relay",Table1[[#This Row],[Total Number of Elements (TX + RX)]],#N/A)</f>
        <v>#N/A</v>
      </c>
      <c r="AV74" s="1" t="e">
        <f t="shared" si="63"/>
        <v>#N/A</v>
      </c>
      <c r="AW74" s="1" t="e">
        <f t="shared" si="64"/>
        <v>#N/A</v>
      </c>
      <c r="AX74" s="1" t="e">
        <f t="shared" si="65"/>
        <v>#N/A</v>
      </c>
      <c r="AY74" s="1" t="e">
        <f t="shared" si="66"/>
        <v>#N/A</v>
      </c>
      <c r="AZ74" s="1" t="e">
        <f t="shared" si="67"/>
        <v>#N/A</v>
      </c>
      <c r="BA74" s="1" t="e">
        <f t="shared" si="68"/>
        <v>#N/A</v>
      </c>
      <c r="BB74" s="1" t="e">
        <f t="shared" si="69"/>
        <v>#N/A</v>
      </c>
    </row>
    <row r="75" spans="1:54" x14ac:dyDescent="0.2">
      <c r="A75" s="1" t="e">
        <f>IF(OR(Table1[[#This Row],[Type (TX, RX, TRX, Oscillator)]]="TX", Table1[[#This Row],[Type (TX, RX, TRX, Oscillator)]]="TX FE"),Table1[[#This Row],[Frequency (GHz)]],#N/A)</f>
        <v>#N/A</v>
      </c>
      <c r="B75" s="30" t="e">
        <f>IF(OR(Table1[[#This Row],[Type (TX, RX, TRX, Oscillator)]]="TX", Table1[[#This Row],[Type (TX, RX, TRX, Oscillator)]]="TX FE"),DATE(Table1[[#This Row],[Year ]],Table1[[#This Row],[Month]],1),#N/A)</f>
        <v>#N/A</v>
      </c>
      <c r="C75" s="1" t="e">
        <f>IF(OR(Table1[[#This Row],[Type (TX, RX, TRX, Oscillator)]]="TX",Table1[[#This Row],[Type (TX, RX, TRX, Oscillator)]]="TX FE"),Table1[[#This Row],[Total Number of Elements (TX + RX)]],#N/A)</f>
        <v>#N/A</v>
      </c>
      <c r="D75" s="1" t="e">
        <f t="shared" si="35"/>
        <v>#N/A</v>
      </c>
      <c r="E75" s="1" t="e">
        <f t="shared" si="36"/>
        <v>#N/A</v>
      </c>
      <c r="F75" s="1" t="e">
        <f t="shared" si="37"/>
        <v>#N/A</v>
      </c>
      <c r="G75" s="1" t="e">
        <f t="shared" si="38"/>
        <v>#N/A</v>
      </c>
      <c r="H75" s="1" t="e">
        <f t="shared" si="39"/>
        <v>#N/A</v>
      </c>
      <c r="I75" s="1" t="e">
        <f t="shared" si="40"/>
        <v>#N/A</v>
      </c>
      <c r="J75" s="1" t="e">
        <f t="shared" si="41"/>
        <v>#N/A</v>
      </c>
      <c r="L75" s="1" t="e">
        <f>IF(OR(Table1[[#This Row],[Type (TX, RX, TRX, Oscillator)]]="RX", Table1[[#This Row],[Type (TX, RX, TRX, Oscillator)]]="RX FE"),Table1[[#This Row],[Frequency (GHz)]],#N/A)</f>
        <v>#N/A</v>
      </c>
      <c r="M75" s="30" t="e">
        <f>IF(OR(Table1[[#This Row],[Type (TX, RX, TRX, Oscillator)]]="RX", Table1[[#This Row],[Type (TX, RX, TRX, Oscillator)]]="RX FE"),DATE(Table1[[#This Row],[Year ]],Table1[[#This Row],[Month]],1),#N/A)</f>
        <v>#N/A</v>
      </c>
      <c r="N75" s="1" t="e">
        <f>IF(OR(Table1[[#This Row],[Type (TX, RX, TRX, Oscillator)]]="RX", Table1[[#This Row],[Type (TX, RX, TRX, Oscillator)]]="RX FE"),Table1[[#This Row],[Total Number of Elements (TX + RX)]],#N/A)</f>
        <v>#N/A</v>
      </c>
      <c r="O75" s="1" t="e">
        <f t="shared" si="42"/>
        <v>#N/A</v>
      </c>
      <c r="P75" s="1" t="e">
        <f t="shared" si="43"/>
        <v>#N/A</v>
      </c>
      <c r="Q75" s="1" t="e">
        <f t="shared" si="44"/>
        <v>#N/A</v>
      </c>
      <c r="R75" s="1" t="e">
        <f t="shared" si="45"/>
        <v>#N/A</v>
      </c>
      <c r="S75" s="1" t="e">
        <f t="shared" si="46"/>
        <v>#N/A</v>
      </c>
      <c r="T75" s="1" t="e">
        <f t="shared" si="47"/>
        <v>#N/A</v>
      </c>
      <c r="U75" s="1" t="e">
        <f t="shared" si="48"/>
        <v>#N/A</v>
      </c>
      <c r="W75" s="1">
        <f>IF(OR(Table1[[#This Row],[Type (TX, RX, TRX, Oscillator)]]="TRX",Table1[[#This Row],[Type (TX, RX, TRX, Oscillator)]]="TRX FE"),Table1[[#This Row],[Frequency (GHz)]],#N/A)</f>
        <v>27</v>
      </c>
      <c r="X75" s="30">
        <f>IF(OR(Table1[[#This Row],[Type (TX, RX, TRX, Oscillator)]]="TRX", Table1[[#This Row],[Type (TX, RX, TRX, Oscillator)]]="TRX FE"),DATE(Table1[[#This Row],[Year ]],Table1[[#This Row],[Month]],1),#N/A)</f>
        <v>44348</v>
      </c>
      <c r="Y75" s="1">
        <f>IF(OR(Table1[[#This Row],[Type (TX, RX, TRX, Oscillator)]]="TRX", Table1[[#This Row],[Type (TX, RX, TRX, Oscillator)]]="TRX FE"),Table1[[#This Row],[Total Number of Elements (TX + RX)]],#N/A)</f>
        <v>8</v>
      </c>
      <c r="Z75" s="1" t="e">
        <f t="shared" si="49"/>
        <v>#N/A</v>
      </c>
      <c r="AA75" s="1">
        <f t="shared" si="50"/>
        <v>8</v>
      </c>
      <c r="AB75" s="1" t="e">
        <f t="shared" si="51"/>
        <v>#N/A</v>
      </c>
      <c r="AC75" s="1" t="e">
        <f t="shared" si="52"/>
        <v>#N/A</v>
      </c>
      <c r="AD75" s="1" t="e">
        <f t="shared" si="53"/>
        <v>#N/A</v>
      </c>
      <c r="AE75" s="1" t="e">
        <f t="shared" si="54"/>
        <v>#N/A</v>
      </c>
      <c r="AF75" s="1" t="e">
        <f t="shared" si="55"/>
        <v>#N/A</v>
      </c>
      <c r="AH75" s="1" t="e">
        <f>IF(Table1[[#This Row],[Type (TX, RX, TRX, Oscillator)]]="Oscillator",Table1[[#This Row],[Frequency (GHz)]],#N/A)</f>
        <v>#N/A</v>
      </c>
      <c r="AI75" s="30" t="e">
        <f>IF(Table1[[#This Row],[Type (TX, RX, TRX, Oscillator)]]="Oscillator",DATE(Table1[[#This Row],[Year ]],Table1[[#This Row],[Month]],1),#N/A)</f>
        <v>#N/A</v>
      </c>
      <c r="AJ75" s="1" t="e">
        <f>IF(Table1[[#This Row],[Type (TX, RX, TRX, Oscillator)]]="Oscillator",Table1[[#This Row],[Total Number of Elements (TX + RX)]],#N/A)</f>
        <v>#N/A</v>
      </c>
      <c r="AK75" s="1" t="e">
        <f t="shared" si="56"/>
        <v>#N/A</v>
      </c>
      <c r="AL75" s="1" t="e">
        <f t="shared" si="57"/>
        <v>#N/A</v>
      </c>
      <c r="AM75" s="1" t="e">
        <f t="shared" si="58"/>
        <v>#N/A</v>
      </c>
      <c r="AN75" s="1" t="e">
        <f t="shared" si="59"/>
        <v>#N/A</v>
      </c>
      <c r="AO75" s="1" t="e">
        <f t="shared" si="60"/>
        <v>#N/A</v>
      </c>
      <c r="AP75" s="1" t="e">
        <f t="shared" si="61"/>
        <v>#N/A</v>
      </c>
      <c r="AQ75" s="1" t="e">
        <f t="shared" si="62"/>
        <v>#N/A</v>
      </c>
      <c r="AS75" s="1" t="e">
        <f>IF(Table1[[#This Row],[Type (TX, RX, TRX, Oscillator)]]="Relay",Table1[[#This Row],[Frequency (GHz)]],#N/A)</f>
        <v>#N/A</v>
      </c>
      <c r="AT75" s="30" t="e">
        <f>IF(Table1[[#This Row],[Type (TX, RX, TRX, Oscillator)]]="Relay",DATE(Table1[[#This Row],[Year ]],Table1[[#This Row],[Month]],1),#N/A)</f>
        <v>#N/A</v>
      </c>
      <c r="AU75" s="1" t="e">
        <f>IF(Table1[[#This Row],[Type (TX, RX, TRX, Oscillator)]]="Relay",Table1[[#This Row],[Total Number of Elements (TX + RX)]],#N/A)</f>
        <v>#N/A</v>
      </c>
      <c r="AV75" s="1" t="e">
        <f t="shared" si="63"/>
        <v>#N/A</v>
      </c>
      <c r="AW75" s="1" t="e">
        <f t="shared" si="64"/>
        <v>#N/A</v>
      </c>
      <c r="AX75" s="1" t="e">
        <f t="shared" si="65"/>
        <v>#N/A</v>
      </c>
      <c r="AY75" s="1" t="e">
        <f t="shared" si="66"/>
        <v>#N/A</v>
      </c>
      <c r="AZ75" s="1" t="e">
        <f t="shared" si="67"/>
        <v>#N/A</v>
      </c>
      <c r="BA75" s="1" t="e">
        <f t="shared" si="68"/>
        <v>#N/A</v>
      </c>
      <c r="BB75" s="1" t="e">
        <f t="shared" si="69"/>
        <v>#N/A</v>
      </c>
    </row>
    <row r="76" spans="1:54" x14ac:dyDescent="0.2">
      <c r="A76" s="1" t="e">
        <f>IF(OR(Table1[[#This Row],[Type (TX, RX, TRX, Oscillator)]]="TX", Table1[[#This Row],[Type (TX, RX, TRX, Oscillator)]]="TX FE"),Table1[[#This Row],[Frequency (GHz)]],#N/A)</f>
        <v>#N/A</v>
      </c>
      <c r="B76" s="30" t="e">
        <f>IF(OR(Table1[[#This Row],[Type (TX, RX, TRX, Oscillator)]]="TX", Table1[[#This Row],[Type (TX, RX, TRX, Oscillator)]]="TX FE"),DATE(Table1[[#This Row],[Year ]],Table1[[#This Row],[Month]],1),#N/A)</f>
        <v>#N/A</v>
      </c>
      <c r="C76" s="1" t="e">
        <f>IF(OR(Table1[[#This Row],[Type (TX, RX, TRX, Oscillator)]]="TX",Table1[[#This Row],[Type (TX, RX, TRX, Oscillator)]]="TX FE"),Table1[[#This Row],[Total Number of Elements (TX + RX)]],#N/A)</f>
        <v>#N/A</v>
      </c>
      <c r="D76" s="1" t="e">
        <f t="shared" si="35"/>
        <v>#N/A</v>
      </c>
      <c r="E76" s="1" t="e">
        <f t="shared" si="36"/>
        <v>#N/A</v>
      </c>
      <c r="F76" s="1" t="e">
        <f t="shared" si="37"/>
        <v>#N/A</v>
      </c>
      <c r="G76" s="1" t="e">
        <f t="shared" si="38"/>
        <v>#N/A</v>
      </c>
      <c r="H76" s="1" t="e">
        <f t="shared" si="39"/>
        <v>#N/A</v>
      </c>
      <c r="I76" s="1" t="e">
        <f t="shared" si="40"/>
        <v>#N/A</v>
      </c>
      <c r="J76" s="1" t="e">
        <f t="shared" si="41"/>
        <v>#N/A</v>
      </c>
      <c r="L76" s="1">
        <f>IF(OR(Table1[[#This Row],[Type (TX, RX, TRX, Oscillator)]]="RX", Table1[[#This Row],[Type (TX, RX, TRX, Oscillator)]]="RX FE"),Table1[[#This Row],[Frequency (GHz)]],#N/A)</f>
        <v>11.7</v>
      </c>
      <c r="M76" s="30">
        <f>IF(OR(Table1[[#This Row],[Type (TX, RX, TRX, Oscillator)]]="RX", Table1[[#This Row],[Type (TX, RX, TRX, Oscillator)]]="RX FE"),DATE(Table1[[#This Row],[Year ]],Table1[[#This Row],[Month]],1),#N/A)</f>
        <v>44378</v>
      </c>
      <c r="N76" s="1">
        <f>IF(OR(Table1[[#This Row],[Type (TX, RX, TRX, Oscillator)]]="RX", Table1[[#This Row],[Type (TX, RX, TRX, Oscillator)]]="RX FE"),Table1[[#This Row],[Total Number of Elements (TX + RX)]],#N/A)</f>
        <v>1024</v>
      </c>
      <c r="O76" s="1">
        <f t="shared" si="42"/>
        <v>1024</v>
      </c>
      <c r="P76" s="1" t="e">
        <f t="shared" si="43"/>
        <v>#N/A</v>
      </c>
      <c r="Q76" s="1" t="e">
        <f t="shared" si="44"/>
        <v>#N/A</v>
      </c>
      <c r="R76" s="1" t="e">
        <f t="shared" si="45"/>
        <v>#N/A</v>
      </c>
      <c r="S76" s="1" t="e">
        <f t="shared" si="46"/>
        <v>#N/A</v>
      </c>
      <c r="T76" s="1" t="e">
        <f t="shared" si="47"/>
        <v>#N/A</v>
      </c>
      <c r="U76" s="1" t="e">
        <f t="shared" si="48"/>
        <v>#N/A</v>
      </c>
      <c r="W76" s="1" t="e">
        <f>IF(OR(Table1[[#This Row],[Type (TX, RX, TRX, Oscillator)]]="TRX",Table1[[#This Row],[Type (TX, RX, TRX, Oscillator)]]="TRX FE"),Table1[[#This Row],[Frequency (GHz)]],#N/A)</f>
        <v>#N/A</v>
      </c>
      <c r="X76" s="30" t="e">
        <f>IF(OR(Table1[[#This Row],[Type (TX, RX, TRX, Oscillator)]]="TRX", Table1[[#This Row],[Type (TX, RX, TRX, Oscillator)]]="TRX FE"),DATE(Table1[[#This Row],[Year ]],Table1[[#This Row],[Month]],1),#N/A)</f>
        <v>#N/A</v>
      </c>
      <c r="Y76" s="1" t="e">
        <f>IF(OR(Table1[[#This Row],[Type (TX, RX, TRX, Oscillator)]]="TRX", Table1[[#This Row],[Type (TX, RX, TRX, Oscillator)]]="TRX FE"),Table1[[#This Row],[Total Number of Elements (TX + RX)]],#N/A)</f>
        <v>#N/A</v>
      </c>
      <c r="Z76" s="1" t="e">
        <f t="shared" si="49"/>
        <v>#N/A</v>
      </c>
      <c r="AA76" s="1" t="e">
        <f t="shared" si="50"/>
        <v>#N/A</v>
      </c>
      <c r="AB76" s="1" t="e">
        <f t="shared" si="51"/>
        <v>#N/A</v>
      </c>
      <c r="AC76" s="1" t="e">
        <f t="shared" si="52"/>
        <v>#N/A</v>
      </c>
      <c r="AD76" s="1" t="e">
        <f t="shared" si="53"/>
        <v>#N/A</v>
      </c>
      <c r="AE76" s="1" t="e">
        <f t="shared" si="54"/>
        <v>#N/A</v>
      </c>
      <c r="AF76" s="1" t="e">
        <f t="shared" si="55"/>
        <v>#N/A</v>
      </c>
      <c r="AH76" s="1" t="e">
        <f>IF(Table1[[#This Row],[Type (TX, RX, TRX, Oscillator)]]="Oscillator",Table1[[#This Row],[Frequency (GHz)]],#N/A)</f>
        <v>#N/A</v>
      </c>
      <c r="AI76" s="30" t="e">
        <f>IF(Table1[[#This Row],[Type (TX, RX, TRX, Oscillator)]]="Oscillator",DATE(Table1[[#This Row],[Year ]],Table1[[#This Row],[Month]],1),#N/A)</f>
        <v>#N/A</v>
      </c>
      <c r="AJ76" s="1" t="e">
        <f>IF(Table1[[#This Row],[Type (TX, RX, TRX, Oscillator)]]="Oscillator",Table1[[#This Row],[Total Number of Elements (TX + RX)]],#N/A)</f>
        <v>#N/A</v>
      </c>
      <c r="AK76" s="1" t="e">
        <f t="shared" si="56"/>
        <v>#N/A</v>
      </c>
      <c r="AL76" s="1" t="e">
        <f t="shared" si="57"/>
        <v>#N/A</v>
      </c>
      <c r="AM76" s="1" t="e">
        <f t="shared" si="58"/>
        <v>#N/A</v>
      </c>
      <c r="AN76" s="1" t="e">
        <f t="shared" si="59"/>
        <v>#N/A</v>
      </c>
      <c r="AO76" s="1" t="e">
        <f t="shared" si="60"/>
        <v>#N/A</v>
      </c>
      <c r="AP76" s="1" t="e">
        <f t="shared" si="61"/>
        <v>#N/A</v>
      </c>
      <c r="AQ76" s="1" t="e">
        <f t="shared" si="62"/>
        <v>#N/A</v>
      </c>
      <c r="AS76" s="1" t="e">
        <f>IF(Table1[[#This Row],[Type (TX, RX, TRX, Oscillator)]]="Relay",Table1[[#This Row],[Frequency (GHz)]],#N/A)</f>
        <v>#N/A</v>
      </c>
      <c r="AT76" s="30" t="e">
        <f>IF(Table1[[#This Row],[Type (TX, RX, TRX, Oscillator)]]="Relay",DATE(Table1[[#This Row],[Year ]],Table1[[#This Row],[Month]],1),#N/A)</f>
        <v>#N/A</v>
      </c>
      <c r="AU76" s="1" t="e">
        <f>IF(Table1[[#This Row],[Type (TX, RX, TRX, Oscillator)]]="Relay",Table1[[#This Row],[Total Number of Elements (TX + RX)]],#N/A)</f>
        <v>#N/A</v>
      </c>
      <c r="AV76" s="1" t="e">
        <f t="shared" si="63"/>
        <v>#N/A</v>
      </c>
      <c r="AW76" s="1" t="e">
        <f t="shared" si="64"/>
        <v>#N/A</v>
      </c>
      <c r="AX76" s="1" t="e">
        <f t="shared" si="65"/>
        <v>#N/A</v>
      </c>
      <c r="AY76" s="1" t="e">
        <f t="shared" si="66"/>
        <v>#N/A</v>
      </c>
      <c r="AZ76" s="1" t="e">
        <f t="shared" si="67"/>
        <v>#N/A</v>
      </c>
      <c r="BA76" s="1" t="e">
        <f t="shared" si="68"/>
        <v>#N/A</v>
      </c>
      <c r="BB76" s="1" t="e">
        <f t="shared" si="69"/>
        <v>#N/A</v>
      </c>
    </row>
    <row r="77" spans="1:54" x14ac:dyDescent="0.2">
      <c r="A77" s="1" t="e">
        <f>IF(OR(Table1[[#This Row],[Type (TX, RX, TRX, Oscillator)]]="TX", Table1[[#This Row],[Type (TX, RX, TRX, Oscillator)]]="TX FE"),Table1[[#This Row],[Frequency (GHz)]],#N/A)</f>
        <v>#N/A</v>
      </c>
      <c r="B77" s="30" t="e">
        <f>IF(OR(Table1[[#This Row],[Type (TX, RX, TRX, Oscillator)]]="TX", Table1[[#This Row],[Type (TX, RX, TRX, Oscillator)]]="TX FE"),DATE(Table1[[#This Row],[Year ]],Table1[[#This Row],[Month]],1),#N/A)</f>
        <v>#N/A</v>
      </c>
      <c r="C77" s="1" t="e">
        <f>IF(OR(Table1[[#This Row],[Type (TX, RX, TRX, Oscillator)]]="TX",Table1[[#This Row],[Type (TX, RX, TRX, Oscillator)]]="TX FE"),Table1[[#This Row],[Total Number of Elements (TX + RX)]],#N/A)</f>
        <v>#N/A</v>
      </c>
      <c r="D77" s="1" t="e">
        <f t="shared" si="35"/>
        <v>#N/A</v>
      </c>
      <c r="E77" s="1" t="e">
        <f t="shared" si="36"/>
        <v>#N/A</v>
      </c>
      <c r="F77" s="1" t="e">
        <f t="shared" si="37"/>
        <v>#N/A</v>
      </c>
      <c r="G77" s="1" t="e">
        <f t="shared" si="38"/>
        <v>#N/A</v>
      </c>
      <c r="H77" s="1" t="e">
        <f t="shared" si="39"/>
        <v>#N/A</v>
      </c>
      <c r="I77" s="1" t="e">
        <f t="shared" si="40"/>
        <v>#N/A</v>
      </c>
      <c r="J77" s="1" t="e">
        <f t="shared" si="41"/>
        <v>#N/A</v>
      </c>
      <c r="L77" s="1">
        <f>IF(OR(Table1[[#This Row],[Type (TX, RX, TRX, Oscillator)]]="RX", Table1[[#This Row],[Type (TX, RX, TRX, Oscillator)]]="RX FE"),Table1[[#This Row],[Frequency (GHz)]],#N/A)</f>
        <v>140</v>
      </c>
      <c r="M77" s="30">
        <f>IF(OR(Table1[[#This Row],[Type (TX, RX, TRX, Oscillator)]]="RX", Table1[[#This Row],[Type (TX, RX, TRX, Oscillator)]]="RX FE"),DATE(Table1[[#This Row],[Year ]],Table1[[#This Row],[Month]],1),#N/A)</f>
        <v>44409</v>
      </c>
      <c r="N77" s="1">
        <f>IF(OR(Table1[[#This Row],[Type (TX, RX, TRX, Oscillator)]]="RX", Table1[[#This Row],[Type (TX, RX, TRX, Oscillator)]]="RX FE"),Table1[[#This Row],[Total Number of Elements (TX + RX)]],#N/A)</f>
        <v>8</v>
      </c>
      <c r="O77" s="1" t="e">
        <f t="shared" si="42"/>
        <v>#N/A</v>
      </c>
      <c r="P77" s="1" t="e">
        <f t="shared" si="43"/>
        <v>#N/A</v>
      </c>
      <c r="Q77" s="1" t="e">
        <f t="shared" si="44"/>
        <v>#N/A</v>
      </c>
      <c r="R77" s="1" t="e">
        <f t="shared" si="45"/>
        <v>#N/A</v>
      </c>
      <c r="S77" s="1">
        <f t="shared" si="46"/>
        <v>8</v>
      </c>
      <c r="T77" s="1" t="e">
        <f t="shared" si="47"/>
        <v>#N/A</v>
      </c>
      <c r="U77" s="1" t="e">
        <f t="shared" si="48"/>
        <v>#N/A</v>
      </c>
      <c r="W77" s="1" t="e">
        <f>IF(OR(Table1[[#This Row],[Type (TX, RX, TRX, Oscillator)]]="TRX",Table1[[#This Row],[Type (TX, RX, TRX, Oscillator)]]="TRX FE"),Table1[[#This Row],[Frequency (GHz)]],#N/A)</f>
        <v>#N/A</v>
      </c>
      <c r="X77" s="30" t="e">
        <f>IF(OR(Table1[[#This Row],[Type (TX, RX, TRX, Oscillator)]]="TRX", Table1[[#This Row],[Type (TX, RX, TRX, Oscillator)]]="TRX FE"),DATE(Table1[[#This Row],[Year ]],Table1[[#This Row],[Month]],1),#N/A)</f>
        <v>#N/A</v>
      </c>
      <c r="Y77" s="1" t="e">
        <f>IF(OR(Table1[[#This Row],[Type (TX, RX, TRX, Oscillator)]]="TRX", Table1[[#This Row],[Type (TX, RX, TRX, Oscillator)]]="TRX FE"),Table1[[#This Row],[Total Number of Elements (TX + RX)]],#N/A)</f>
        <v>#N/A</v>
      </c>
      <c r="Z77" s="1" t="e">
        <f t="shared" si="49"/>
        <v>#N/A</v>
      </c>
      <c r="AA77" s="1" t="e">
        <f t="shared" si="50"/>
        <v>#N/A</v>
      </c>
      <c r="AB77" s="1" t="e">
        <f t="shared" si="51"/>
        <v>#N/A</v>
      </c>
      <c r="AC77" s="1" t="e">
        <f t="shared" si="52"/>
        <v>#N/A</v>
      </c>
      <c r="AD77" s="1" t="e">
        <f t="shared" si="53"/>
        <v>#N/A</v>
      </c>
      <c r="AE77" s="1" t="e">
        <f t="shared" si="54"/>
        <v>#N/A</v>
      </c>
      <c r="AF77" s="1" t="e">
        <f t="shared" si="55"/>
        <v>#N/A</v>
      </c>
      <c r="AH77" s="1" t="e">
        <f>IF(Table1[[#This Row],[Type (TX, RX, TRX, Oscillator)]]="Oscillator",Table1[[#This Row],[Frequency (GHz)]],#N/A)</f>
        <v>#N/A</v>
      </c>
      <c r="AI77" s="30" t="e">
        <f>IF(Table1[[#This Row],[Type (TX, RX, TRX, Oscillator)]]="Oscillator",DATE(Table1[[#This Row],[Year ]],Table1[[#This Row],[Month]],1),#N/A)</f>
        <v>#N/A</v>
      </c>
      <c r="AJ77" s="1" t="e">
        <f>IF(Table1[[#This Row],[Type (TX, RX, TRX, Oscillator)]]="Oscillator",Table1[[#This Row],[Total Number of Elements (TX + RX)]],#N/A)</f>
        <v>#N/A</v>
      </c>
      <c r="AK77" s="1" t="e">
        <f t="shared" si="56"/>
        <v>#N/A</v>
      </c>
      <c r="AL77" s="1" t="e">
        <f t="shared" si="57"/>
        <v>#N/A</v>
      </c>
      <c r="AM77" s="1" t="e">
        <f t="shared" si="58"/>
        <v>#N/A</v>
      </c>
      <c r="AN77" s="1" t="e">
        <f t="shared" si="59"/>
        <v>#N/A</v>
      </c>
      <c r="AO77" s="1" t="e">
        <f t="shared" si="60"/>
        <v>#N/A</v>
      </c>
      <c r="AP77" s="1" t="e">
        <f t="shared" si="61"/>
        <v>#N/A</v>
      </c>
      <c r="AQ77" s="1" t="e">
        <f t="shared" si="62"/>
        <v>#N/A</v>
      </c>
      <c r="AS77" s="1" t="e">
        <f>IF(Table1[[#This Row],[Type (TX, RX, TRX, Oscillator)]]="Relay",Table1[[#This Row],[Frequency (GHz)]],#N/A)</f>
        <v>#N/A</v>
      </c>
      <c r="AT77" s="30" t="e">
        <f>IF(Table1[[#This Row],[Type (TX, RX, TRX, Oscillator)]]="Relay",DATE(Table1[[#This Row],[Year ]],Table1[[#This Row],[Month]],1),#N/A)</f>
        <v>#N/A</v>
      </c>
      <c r="AU77" s="1" t="e">
        <f>IF(Table1[[#This Row],[Type (TX, RX, TRX, Oscillator)]]="Relay",Table1[[#This Row],[Total Number of Elements (TX + RX)]],#N/A)</f>
        <v>#N/A</v>
      </c>
      <c r="AV77" s="1" t="e">
        <f t="shared" si="63"/>
        <v>#N/A</v>
      </c>
      <c r="AW77" s="1" t="e">
        <f t="shared" si="64"/>
        <v>#N/A</v>
      </c>
      <c r="AX77" s="1" t="e">
        <f t="shared" si="65"/>
        <v>#N/A</v>
      </c>
      <c r="AY77" s="1" t="e">
        <f t="shared" si="66"/>
        <v>#N/A</v>
      </c>
      <c r="AZ77" s="1" t="e">
        <f t="shared" si="67"/>
        <v>#N/A</v>
      </c>
      <c r="BA77" s="1" t="e">
        <f t="shared" si="68"/>
        <v>#N/A</v>
      </c>
      <c r="BB77" s="1" t="e">
        <f t="shared" si="69"/>
        <v>#N/A</v>
      </c>
    </row>
    <row r="78" spans="1:54" x14ac:dyDescent="0.2">
      <c r="A78" s="1">
        <f>IF(OR(Table1[[#This Row],[Type (TX, RX, TRX, Oscillator)]]="TX", Table1[[#This Row],[Type (TX, RX, TRX, Oscillator)]]="TX FE"),Table1[[#This Row],[Frequency (GHz)]],#N/A)</f>
        <v>14</v>
      </c>
      <c r="B78" s="30">
        <f>IF(OR(Table1[[#This Row],[Type (TX, RX, TRX, Oscillator)]]="TX", Table1[[#This Row],[Type (TX, RX, TRX, Oscillator)]]="TX FE"),DATE(Table1[[#This Row],[Year ]],Table1[[#This Row],[Month]],1),#N/A)</f>
        <v>44440</v>
      </c>
      <c r="C78" s="1">
        <f>IF(OR(Table1[[#This Row],[Type (TX, RX, TRX, Oscillator)]]="TX",Table1[[#This Row],[Type (TX, RX, TRX, Oscillator)]]="TX FE"),Table1[[#This Row],[Total Number of Elements (TX + RX)]],#N/A)</f>
        <v>1024</v>
      </c>
      <c r="D78" s="1">
        <f t="shared" si="35"/>
        <v>1024</v>
      </c>
      <c r="E78" s="1" t="e">
        <f t="shared" si="36"/>
        <v>#N/A</v>
      </c>
      <c r="F78" s="1" t="e">
        <f t="shared" si="37"/>
        <v>#N/A</v>
      </c>
      <c r="G78" s="1" t="e">
        <f t="shared" si="38"/>
        <v>#N/A</v>
      </c>
      <c r="H78" s="1" t="e">
        <f t="shared" si="39"/>
        <v>#N/A</v>
      </c>
      <c r="I78" s="1" t="e">
        <f t="shared" si="40"/>
        <v>#N/A</v>
      </c>
      <c r="J78" s="1" t="e">
        <f t="shared" si="41"/>
        <v>#N/A</v>
      </c>
      <c r="L78" s="1" t="e">
        <f>IF(OR(Table1[[#This Row],[Type (TX, RX, TRX, Oscillator)]]="RX", Table1[[#This Row],[Type (TX, RX, TRX, Oscillator)]]="RX FE"),Table1[[#This Row],[Frequency (GHz)]],#N/A)</f>
        <v>#N/A</v>
      </c>
      <c r="M78" s="30" t="e">
        <f>IF(OR(Table1[[#This Row],[Type (TX, RX, TRX, Oscillator)]]="RX", Table1[[#This Row],[Type (TX, RX, TRX, Oscillator)]]="RX FE"),DATE(Table1[[#This Row],[Year ]],Table1[[#This Row],[Month]],1),#N/A)</f>
        <v>#N/A</v>
      </c>
      <c r="N78" s="1" t="e">
        <f>IF(OR(Table1[[#This Row],[Type (TX, RX, TRX, Oscillator)]]="RX", Table1[[#This Row],[Type (TX, RX, TRX, Oscillator)]]="RX FE"),Table1[[#This Row],[Total Number of Elements (TX + RX)]],#N/A)</f>
        <v>#N/A</v>
      </c>
      <c r="O78" s="1" t="e">
        <f t="shared" si="42"/>
        <v>#N/A</v>
      </c>
      <c r="P78" s="1" t="e">
        <f t="shared" si="43"/>
        <v>#N/A</v>
      </c>
      <c r="Q78" s="1" t="e">
        <f t="shared" si="44"/>
        <v>#N/A</v>
      </c>
      <c r="R78" s="1" t="e">
        <f t="shared" si="45"/>
        <v>#N/A</v>
      </c>
      <c r="S78" s="1" t="e">
        <f t="shared" si="46"/>
        <v>#N/A</v>
      </c>
      <c r="T78" s="1" t="e">
        <f t="shared" si="47"/>
        <v>#N/A</v>
      </c>
      <c r="U78" s="1" t="e">
        <f t="shared" si="48"/>
        <v>#N/A</v>
      </c>
      <c r="W78" s="1" t="e">
        <f>IF(OR(Table1[[#This Row],[Type (TX, RX, TRX, Oscillator)]]="TRX",Table1[[#This Row],[Type (TX, RX, TRX, Oscillator)]]="TRX FE"),Table1[[#This Row],[Frequency (GHz)]],#N/A)</f>
        <v>#N/A</v>
      </c>
      <c r="X78" s="30" t="e">
        <f>IF(OR(Table1[[#This Row],[Type (TX, RX, TRX, Oscillator)]]="TRX", Table1[[#This Row],[Type (TX, RX, TRX, Oscillator)]]="TRX FE"),DATE(Table1[[#This Row],[Year ]],Table1[[#This Row],[Month]],1),#N/A)</f>
        <v>#N/A</v>
      </c>
      <c r="Y78" s="1" t="e">
        <f>IF(OR(Table1[[#This Row],[Type (TX, RX, TRX, Oscillator)]]="TRX", Table1[[#This Row],[Type (TX, RX, TRX, Oscillator)]]="TRX FE"),Table1[[#This Row],[Total Number of Elements (TX + RX)]],#N/A)</f>
        <v>#N/A</v>
      </c>
      <c r="Z78" s="1" t="e">
        <f t="shared" si="49"/>
        <v>#N/A</v>
      </c>
      <c r="AA78" s="1" t="e">
        <f t="shared" si="50"/>
        <v>#N/A</v>
      </c>
      <c r="AB78" s="1" t="e">
        <f t="shared" si="51"/>
        <v>#N/A</v>
      </c>
      <c r="AC78" s="1" t="e">
        <f t="shared" si="52"/>
        <v>#N/A</v>
      </c>
      <c r="AD78" s="1" t="e">
        <f t="shared" si="53"/>
        <v>#N/A</v>
      </c>
      <c r="AE78" s="1" t="e">
        <f t="shared" si="54"/>
        <v>#N/A</v>
      </c>
      <c r="AF78" s="1" t="e">
        <f t="shared" si="55"/>
        <v>#N/A</v>
      </c>
      <c r="AH78" s="1" t="e">
        <f>IF(Table1[[#This Row],[Type (TX, RX, TRX, Oscillator)]]="Oscillator",Table1[[#This Row],[Frequency (GHz)]],#N/A)</f>
        <v>#N/A</v>
      </c>
      <c r="AI78" s="30" t="e">
        <f>IF(Table1[[#This Row],[Type (TX, RX, TRX, Oscillator)]]="Oscillator",DATE(Table1[[#This Row],[Year ]],Table1[[#This Row],[Month]],1),#N/A)</f>
        <v>#N/A</v>
      </c>
      <c r="AJ78" s="1" t="e">
        <f>IF(Table1[[#This Row],[Type (TX, RX, TRX, Oscillator)]]="Oscillator",Table1[[#This Row],[Total Number of Elements (TX + RX)]],#N/A)</f>
        <v>#N/A</v>
      </c>
      <c r="AK78" s="1" t="e">
        <f t="shared" si="56"/>
        <v>#N/A</v>
      </c>
      <c r="AL78" s="1" t="e">
        <f t="shared" si="57"/>
        <v>#N/A</v>
      </c>
      <c r="AM78" s="1" t="e">
        <f t="shared" si="58"/>
        <v>#N/A</v>
      </c>
      <c r="AN78" s="1" t="e">
        <f t="shared" si="59"/>
        <v>#N/A</v>
      </c>
      <c r="AO78" s="1" t="e">
        <f t="shared" si="60"/>
        <v>#N/A</v>
      </c>
      <c r="AP78" s="1" t="e">
        <f t="shared" si="61"/>
        <v>#N/A</v>
      </c>
      <c r="AQ78" s="1" t="e">
        <f t="shared" si="62"/>
        <v>#N/A</v>
      </c>
      <c r="AS78" s="1" t="e">
        <f>IF(Table1[[#This Row],[Type (TX, RX, TRX, Oscillator)]]="Relay",Table1[[#This Row],[Frequency (GHz)]],#N/A)</f>
        <v>#N/A</v>
      </c>
      <c r="AT78" s="30" t="e">
        <f>IF(Table1[[#This Row],[Type (TX, RX, TRX, Oscillator)]]="Relay",DATE(Table1[[#This Row],[Year ]],Table1[[#This Row],[Month]],1),#N/A)</f>
        <v>#N/A</v>
      </c>
      <c r="AU78" s="1" t="e">
        <f>IF(Table1[[#This Row],[Type (TX, RX, TRX, Oscillator)]]="Relay",Table1[[#This Row],[Total Number of Elements (TX + RX)]],#N/A)</f>
        <v>#N/A</v>
      </c>
      <c r="AV78" s="1" t="e">
        <f t="shared" si="63"/>
        <v>#N/A</v>
      </c>
      <c r="AW78" s="1" t="e">
        <f t="shared" si="64"/>
        <v>#N/A</v>
      </c>
      <c r="AX78" s="1" t="e">
        <f t="shared" si="65"/>
        <v>#N/A</v>
      </c>
      <c r="AY78" s="1" t="e">
        <f t="shared" si="66"/>
        <v>#N/A</v>
      </c>
      <c r="AZ78" s="1" t="e">
        <f t="shared" si="67"/>
        <v>#N/A</v>
      </c>
      <c r="BA78" s="1" t="e">
        <f t="shared" si="68"/>
        <v>#N/A</v>
      </c>
      <c r="BB78" s="1" t="e">
        <f t="shared" si="69"/>
        <v>#N/A</v>
      </c>
    </row>
    <row r="79" spans="1:54" x14ac:dyDescent="0.2">
      <c r="A79" s="1" t="e">
        <f>IF(OR(Table1[[#This Row],[Type (TX, RX, TRX, Oscillator)]]="TX", Table1[[#This Row],[Type (TX, RX, TRX, Oscillator)]]="TX FE"),Table1[[#This Row],[Frequency (GHz)]],#N/A)</f>
        <v>#N/A</v>
      </c>
      <c r="B79" s="30" t="e">
        <f>IF(OR(Table1[[#This Row],[Type (TX, RX, TRX, Oscillator)]]="TX", Table1[[#This Row],[Type (TX, RX, TRX, Oscillator)]]="TX FE"),DATE(Table1[[#This Row],[Year ]],Table1[[#This Row],[Month]],1),#N/A)</f>
        <v>#N/A</v>
      </c>
      <c r="C79" s="1" t="e">
        <f>IF(OR(Table1[[#This Row],[Type (TX, RX, TRX, Oscillator)]]="TX",Table1[[#This Row],[Type (TX, RX, TRX, Oscillator)]]="TX FE"),Table1[[#This Row],[Total Number of Elements (TX + RX)]],#N/A)</f>
        <v>#N/A</v>
      </c>
      <c r="D79" s="1" t="e">
        <f t="shared" si="35"/>
        <v>#N/A</v>
      </c>
      <c r="E79" s="1" t="e">
        <f t="shared" si="36"/>
        <v>#N/A</v>
      </c>
      <c r="F79" s="1" t="e">
        <f t="shared" si="37"/>
        <v>#N/A</v>
      </c>
      <c r="G79" s="1" t="e">
        <f t="shared" si="38"/>
        <v>#N/A</v>
      </c>
      <c r="H79" s="1" t="e">
        <f t="shared" si="39"/>
        <v>#N/A</v>
      </c>
      <c r="I79" s="1" t="e">
        <f t="shared" si="40"/>
        <v>#N/A</v>
      </c>
      <c r="J79" s="1" t="e">
        <f t="shared" si="41"/>
        <v>#N/A</v>
      </c>
      <c r="L79" s="1">
        <f>IF(OR(Table1[[#This Row],[Type (TX, RX, TRX, Oscillator)]]="RX", Table1[[#This Row],[Type (TX, RX, TRX, Oscillator)]]="RX FE"),Table1[[#This Row],[Frequency (GHz)]],#N/A)</f>
        <v>11.7</v>
      </c>
      <c r="M79" s="30">
        <f>IF(OR(Table1[[#This Row],[Type (TX, RX, TRX, Oscillator)]]="RX", Table1[[#This Row],[Type (TX, RX, TRX, Oscillator)]]="RX FE"),DATE(Table1[[#This Row],[Year ]],Table1[[#This Row],[Month]],1),#N/A)</f>
        <v>44501</v>
      </c>
      <c r="N79" s="1">
        <f>IF(OR(Table1[[#This Row],[Type (TX, RX, TRX, Oscillator)]]="RX", Table1[[#This Row],[Type (TX, RX, TRX, Oscillator)]]="RX FE"),Table1[[#This Row],[Total Number of Elements (TX + RX)]],#N/A)</f>
        <v>256</v>
      </c>
      <c r="O79" s="1">
        <f t="shared" si="42"/>
        <v>256</v>
      </c>
      <c r="P79" s="1" t="e">
        <f t="shared" si="43"/>
        <v>#N/A</v>
      </c>
      <c r="Q79" s="1" t="e">
        <f t="shared" si="44"/>
        <v>#N/A</v>
      </c>
      <c r="R79" s="1" t="e">
        <f t="shared" si="45"/>
        <v>#N/A</v>
      </c>
      <c r="S79" s="1" t="e">
        <f t="shared" si="46"/>
        <v>#N/A</v>
      </c>
      <c r="T79" s="1" t="e">
        <f t="shared" si="47"/>
        <v>#N/A</v>
      </c>
      <c r="U79" s="1" t="e">
        <f t="shared" si="48"/>
        <v>#N/A</v>
      </c>
      <c r="W79" s="1" t="e">
        <f>IF(OR(Table1[[#This Row],[Type (TX, RX, TRX, Oscillator)]]="TRX",Table1[[#This Row],[Type (TX, RX, TRX, Oscillator)]]="TRX FE"),Table1[[#This Row],[Frequency (GHz)]],#N/A)</f>
        <v>#N/A</v>
      </c>
      <c r="X79" s="30" t="e">
        <f>IF(OR(Table1[[#This Row],[Type (TX, RX, TRX, Oscillator)]]="TRX", Table1[[#This Row],[Type (TX, RX, TRX, Oscillator)]]="TRX FE"),DATE(Table1[[#This Row],[Year ]],Table1[[#This Row],[Month]],1),#N/A)</f>
        <v>#N/A</v>
      </c>
      <c r="Y79" s="1" t="e">
        <f>IF(OR(Table1[[#This Row],[Type (TX, RX, TRX, Oscillator)]]="TRX", Table1[[#This Row],[Type (TX, RX, TRX, Oscillator)]]="TRX FE"),Table1[[#This Row],[Total Number of Elements (TX + RX)]],#N/A)</f>
        <v>#N/A</v>
      </c>
      <c r="Z79" s="1" t="e">
        <f t="shared" si="49"/>
        <v>#N/A</v>
      </c>
      <c r="AA79" s="1" t="e">
        <f t="shared" si="50"/>
        <v>#N/A</v>
      </c>
      <c r="AB79" s="1" t="e">
        <f t="shared" si="51"/>
        <v>#N/A</v>
      </c>
      <c r="AC79" s="1" t="e">
        <f t="shared" si="52"/>
        <v>#N/A</v>
      </c>
      <c r="AD79" s="1" t="e">
        <f t="shared" si="53"/>
        <v>#N/A</v>
      </c>
      <c r="AE79" s="1" t="e">
        <f t="shared" si="54"/>
        <v>#N/A</v>
      </c>
      <c r="AF79" s="1" t="e">
        <f t="shared" si="55"/>
        <v>#N/A</v>
      </c>
      <c r="AH79" s="1" t="e">
        <f>IF(Table1[[#This Row],[Type (TX, RX, TRX, Oscillator)]]="Oscillator",Table1[[#This Row],[Frequency (GHz)]],#N/A)</f>
        <v>#N/A</v>
      </c>
      <c r="AI79" s="30" t="e">
        <f>IF(Table1[[#This Row],[Type (TX, RX, TRX, Oscillator)]]="Oscillator",DATE(Table1[[#This Row],[Year ]],Table1[[#This Row],[Month]],1),#N/A)</f>
        <v>#N/A</v>
      </c>
      <c r="AJ79" s="1" t="e">
        <f>IF(Table1[[#This Row],[Type (TX, RX, TRX, Oscillator)]]="Oscillator",Table1[[#This Row],[Total Number of Elements (TX + RX)]],#N/A)</f>
        <v>#N/A</v>
      </c>
      <c r="AK79" s="1" t="e">
        <f t="shared" si="56"/>
        <v>#N/A</v>
      </c>
      <c r="AL79" s="1" t="e">
        <f t="shared" si="57"/>
        <v>#N/A</v>
      </c>
      <c r="AM79" s="1" t="e">
        <f t="shared" si="58"/>
        <v>#N/A</v>
      </c>
      <c r="AN79" s="1" t="e">
        <f t="shared" si="59"/>
        <v>#N/A</v>
      </c>
      <c r="AO79" s="1" t="e">
        <f t="shared" si="60"/>
        <v>#N/A</v>
      </c>
      <c r="AP79" s="1" t="e">
        <f t="shared" si="61"/>
        <v>#N/A</v>
      </c>
      <c r="AQ79" s="1" t="e">
        <f t="shared" si="62"/>
        <v>#N/A</v>
      </c>
      <c r="AS79" s="1" t="e">
        <f>IF(Table1[[#This Row],[Type (TX, RX, TRX, Oscillator)]]="Relay",Table1[[#This Row],[Frequency (GHz)]],#N/A)</f>
        <v>#N/A</v>
      </c>
      <c r="AT79" s="30" t="e">
        <f>IF(Table1[[#This Row],[Type (TX, RX, TRX, Oscillator)]]="Relay",DATE(Table1[[#This Row],[Year ]],Table1[[#This Row],[Month]],1),#N/A)</f>
        <v>#N/A</v>
      </c>
      <c r="AU79" s="1" t="e">
        <f>IF(Table1[[#This Row],[Type (TX, RX, TRX, Oscillator)]]="Relay",Table1[[#This Row],[Total Number of Elements (TX + RX)]],#N/A)</f>
        <v>#N/A</v>
      </c>
      <c r="AV79" s="1" t="e">
        <f t="shared" si="63"/>
        <v>#N/A</v>
      </c>
      <c r="AW79" s="1" t="e">
        <f t="shared" si="64"/>
        <v>#N/A</v>
      </c>
      <c r="AX79" s="1" t="e">
        <f t="shared" si="65"/>
        <v>#N/A</v>
      </c>
      <c r="AY79" s="1" t="e">
        <f t="shared" si="66"/>
        <v>#N/A</v>
      </c>
      <c r="AZ79" s="1" t="e">
        <f t="shared" si="67"/>
        <v>#N/A</v>
      </c>
      <c r="BA79" s="1" t="e">
        <f t="shared" si="68"/>
        <v>#N/A</v>
      </c>
      <c r="BB79" s="1" t="e">
        <f t="shared" si="69"/>
        <v>#N/A</v>
      </c>
    </row>
    <row r="80" spans="1:54" x14ac:dyDescent="0.2">
      <c r="A80" s="1" t="e">
        <f>IF(OR(Table1[[#This Row],[Type (TX, RX, TRX, Oscillator)]]="TX", Table1[[#This Row],[Type (TX, RX, TRX, Oscillator)]]="TX FE"),Table1[[#This Row],[Frequency (GHz)]],#N/A)</f>
        <v>#N/A</v>
      </c>
      <c r="B80" s="30" t="e">
        <f>IF(OR(Table1[[#This Row],[Type (TX, RX, TRX, Oscillator)]]="TX", Table1[[#This Row],[Type (TX, RX, TRX, Oscillator)]]="TX FE"),DATE(Table1[[#This Row],[Year ]],Table1[[#This Row],[Month]],1),#N/A)</f>
        <v>#N/A</v>
      </c>
      <c r="C80" s="1" t="e">
        <f>IF(OR(Table1[[#This Row],[Type (TX, RX, TRX, Oscillator)]]="TX",Table1[[#This Row],[Type (TX, RX, TRX, Oscillator)]]="TX FE"),Table1[[#This Row],[Total Number of Elements (TX + RX)]],#N/A)</f>
        <v>#N/A</v>
      </c>
      <c r="D80" s="1" t="e">
        <f t="shared" si="35"/>
        <v>#N/A</v>
      </c>
      <c r="E80" s="1" t="e">
        <f t="shared" si="36"/>
        <v>#N/A</v>
      </c>
      <c r="F80" s="1" t="e">
        <f t="shared" si="37"/>
        <v>#N/A</v>
      </c>
      <c r="G80" s="1" t="e">
        <f t="shared" si="38"/>
        <v>#N/A</v>
      </c>
      <c r="H80" s="1" t="e">
        <f t="shared" si="39"/>
        <v>#N/A</v>
      </c>
      <c r="I80" s="1" t="e">
        <f t="shared" si="40"/>
        <v>#N/A</v>
      </c>
      <c r="J80" s="1" t="e">
        <f t="shared" si="41"/>
        <v>#N/A</v>
      </c>
      <c r="L80" s="1" t="e">
        <f>IF(OR(Table1[[#This Row],[Type (TX, RX, TRX, Oscillator)]]="RX", Table1[[#This Row],[Type (TX, RX, TRX, Oscillator)]]="RX FE"),Table1[[#This Row],[Frequency (GHz)]],#N/A)</f>
        <v>#N/A</v>
      </c>
      <c r="M80" s="30" t="e">
        <f>IF(OR(Table1[[#This Row],[Type (TX, RX, TRX, Oscillator)]]="RX", Table1[[#This Row],[Type (TX, RX, TRX, Oscillator)]]="RX FE"),DATE(Table1[[#This Row],[Year ]],Table1[[#This Row],[Month]],1),#N/A)</f>
        <v>#N/A</v>
      </c>
      <c r="N80" s="1" t="e">
        <f>IF(OR(Table1[[#This Row],[Type (TX, RX, TRX, Oscillator)]]="RX", Table1[[#This Row],[Type (TX, RX, TRX, Oscillator)]]="RX FE"),Table1[[#This Row],[Total Number of Elements (TX + RX)]],#N/A)</f>
        <v>#N/A</v>
      </c>
      <c r="O80" s="1" t="e">
        <f t="shared" si="42"/>
        <v>#N/A</v>
      </c>
      <c r="P80" s="1" t="e">
        <f t="shared" si="43"/>
        <v>#N/A</v>
      </c>
      <c r="Q80" s="1" t="e">
        <f t="shared" si="44"/>
        <v>#N/A</v>
      </c>
      <c r="R80" s="1" t="e">
        <f t="shared" si="45"/>
        <v>#N/A</v>
      </c>
      <c r="S80" s="1" t="e">
        <f t="shared" si="46"/>
        <v>#N/A</v>
      </c>
      <c r="T80" s="1" t="e">
        <f t="shared" si="47"/>
        <v>#N/A</v>
      </c>
      <c r="U80" s="1" t="e">
        <f t="shared" si="48"/>
        <v>#N/A</v>
      </c>
      <c r="W80" s="1" t="e">
        <f>IF(OR(Table1[[#This Row],[Type (TX, RX, TRX, Oscillator)]]="TRX",Table1[[#This Row],[Type (TX, RX, TRX, Oscillator)]]="TRX FE"),Table1[[#This Row],[Frequency (GHz)]],#N/A)</f>
        <v>#N/A</v>
      </c>
      <c r="X80" s="30" t="e">
        <f>IF(OR(Table1[[#This Row],[Type (TX, RX, TRX, Oscillator)]]="TRX", Table1[[#This Row],[Type (TX, RX, TRX, Oscillator)]]="TRX FE"),DATE(Table1[[#This Row],[Year ]],Table1[[#This Row],[Month]],1),#N/A)</f>
        <v>#N/A</v>
      </c>
      <c r="Y80" s="1" t="e">
        <f>IF(OR(Table1[[#This Row],[Type (TX, RX, TRX, Oscillator)]]="TRX", Table1[[#This Row],[Type (TX, RX, TRX, Oscillator)]]="TRX FE"),Table1[[#This Row],[Total Number of Elements (TX + RX)]],#N/A)</f>
        <v>#N/A</v>
      </c>
      <c r="Z80" s="1" t="e">
        <f t="shared" si="49"/>
        <v>#N/A</v>
      </c>
      <c r="AA80" s="1" t="e">
        <f t="shared" si="50"/>
        <v>#N/A</v>
      </c>
      <c r="AB80" s="1" t="e">
        <f t="shared" si="51"/>
        <v>#N/A</v>
      </c>
      <c r="AC80" s="1" t="e">
        <f t="shared" si="52"/>
        <v>#N/A</v>
      </c>
      <c r="AD80" s="1" t="e">
        <f t="shared" si="53"/>
        <v>#N/A</v>
      </c>
      <c r="AE80" s="1" t="e">
        <f t="shared" si="54"/>
        <v>#N/A</v>
      </c>
      <c r="AF80" s="1" t="e">
        <f t="shared" si="55"/>
        <v>#N/A</v>
      </c>
      <c r="AH80" s="1">
        <f>IF(Table1[[#This Row],[Type (TX, RX, TRX, Oscillator)]]="Oscillator",Table1[[#This Row],[Frequency (GHz)]],#N/A)</f>
        <v>450</v>
      </c>
      <c r="AI80" s="30">
        <f>IF(Table1[[#This Row],[Type (TX, RX, TRX, Oscillator)]]="Oscillator",DATE(Table1[[#This Row],[Year ]],Table1[[#This Row],[Month]],1),#N/A)</f>
        <v>44531</v>
      </c>
      <c r="AJ80" s="1">
        <f>IF(Table1[[#This Row],[Type (TX, RX, TRX, Oscillator)]]="Oscillator",Table1[[#This Row],[Total Number of Elements (TX + RX)]],#N/A)</f>
        <v>16</v>
      </c>
      <c r="AK80" s="1" t="e">
        <f t="shared" si="56"/>
        <v>#N/A</v>
      </c>
      <c r="AL80" s="1" t="e">
        <f t="shared" si="57"/>
        <v>#N/A</v>
      </c>
      <c r="AM80" s="1" t="e">
        <f t="shared" si="58"/>
        <v>#N/A</v>
      </c>
      <c r="AN80" s="1" t="e">
        <f t="shared" si="59"/>
        <v>#N/A</v>
      </c>
      <c r="AO80" s="1" t="e">
        <f t="shared" si="60"/>
        <v>#N/A</v>
      </c>
      <c r="AP80" s="1" t="e">
        <f t="shared" si="61"/>
        <v>#N/A</v>
      </c>
      <c r="AQ80" s="1">
        <f t="shared" si="62"/>
        <v>16</v>
      </c>
      <c r="AS80" s="1" t="e">
        <f>IF(Table1[[#This Row],[Type (TX, RX, TRX, Oscillator)]]="Relay",Table1[[#This Row],[Frequency (GHz)]],#N/A)</f>
        <v>#N/A</v>
      </c>
      <c r="AT80" s="30" t="e">
        <f>IF(Table1[[#This Row],[Type (TX, RX, TRX, Oscillator)]]="Relay",DATE(Table1[[#This Row],[Year ]],Table1[[#This Row],[Month]],1),#N/A)</f>
        <v>#N/A</v>
      </c>
      <c r="AU80" s="1" t="e">
        <f>IF(Table1[[#This Row],[Type (TX, RX, TRX, Oscillator)]]="Relay",Table1[[#This Row],[Total Number of Elements (TX + RX)]],#N/A)</f>
        <v>#N/A</v>
      </c>
      <c r="AV80" s="1" t="e">
        <f t="shared" si="63"/>
        <v>#N/A</v>
      </c>
      <c r="AW80" s="1" t="e">
        <f t="shared" si="64"/>
        <v>#N/A</v>
      </c>
      <c r="AX80" s="1" t="e">
        <f t="shared" si="65"/>
        <v>#N/A</v>
      </c>
      <c r="AY80" s="1" t="e">
        <f t="shared" si="66"/>
        <v>#N/A</v>
      </c>
      <c r="AZ80" s="1" t="e">
        <f t="shared" si="67"/>
        <v>#N/A</v>
      </c>
      <c r="BA80" s="1" t="e">
        <f t="shared" si="68"/>
        <v>#N/A</v>
      </c>
      <c r="BB80" s="1" t="e">
        <f t="shared" si="69"/>
        <v>#N/A</v>
      </c>
    </row>
    <row r="81" spans="1:54" x14ac:dyDescent="0.2">
      <c r="A81" s="1">
        <f>IF(OR(Table1[[#This Row],[Type (TX, RX, TRX, Oscillator)]]="TX", Table1[[#This Row],[Type (TX, RX, TRX, Oscillator)]]="TX FE"),Table1[[#This Row],[Frequency (GHz)]],#N/A)</f>
        <v>30</v>
      </c>
      <c r="B81" s="30">
        <f>IF(OR(Table1[[#This Row],[Type (TX, RX, TRX, Oscillator)]]="TX", Table1[[#This Row],[Type (TX, RX, TRX, Oscillator)]]="TX FE"),DATE(Table1[[#This Row],[Year ]],Table1[[#This Row],[Month]],1),#N/A)</f>
        <v>44531</v>
      </c>
      <c r="C81" s="1">
        <f>IF(OR(Table1[[#This Row],[Type (TX, RX, TRX, Oscillator)]]="TX",Table1[[#This Row],[Type (TX, RX, TRX, Oscillator)]]="TX FE"),Table1[[#This Row],[Total Number of Elements (TX + RX)]],#N/A)</f>
        <v>8</v>
      </c>
      <c r="D81" s="1" t="e">
        <f t="shared" si="35"/>
        <v>#N/A</v>
      </c>
      <c r="E81" s="1">
        <f t="shared" si="36"/>
        <v>8</v>
      </c>
      <c r="F81" s="1" t="e">
        <f t="shared" si="37"/>
        <v>#N/A</v>
      </c>
      <c r="G81" s="1" t="e">
        <f t="shared" si="38"/>
        <v>#N/A</v>
      </c>
      <c r="H81" s="1" t="e">
        <f t="shared" si="39"/>
        <v>#N/A</v>
      </c>
      <c r="I81" s="1" t="e">
        <f t="shared" si="40"/>
        <v>#N/A</v>
      </c>
      <c r="J81" s="1" t="e">
        <f t="shared" si="41"/>
        <v>#N/A</v>
      </c>
      <c r="L81" s="1" t="e">
        <f>IF(OR(Table1[[#This Row],[Type (TX, RX, TRX, Oscillator)]]="RX", Table1[[#This Row],[Type (TX, RX, TRX, Oscillator)]]="RX FE"),Table1[[#This Row],[Frequency (GHz)]],#N/A)</f>
        <v>#N/A</v>
      </c>
      <c r="M81" s="30" t="e">
        <f>IF(OR(Table1[[#This Row],[Type (TX, RX, TRX, Oscillator)]]="RX", Table1[[#This Row],[Type (TX, RX, TRX, Oscillator)]]="RX FE"),DATE(Table1[[#This Row],[Year ]],Table1[[#This Row],[Month]],1),#N/A)</f>
        <v>#N/A</v>
      </c>
      <c r="N81" s="1" t="e">
        <f>IF(OR(Table1[[#This Row],[Type (TX, RX, TRX, Oscillator)]]="RX", Table1[[#This Row],[Type (TX, RX, TRX, Oscillator)]]="RX FE"),Table1[[#This Row],[Total Number of Elements (TX + RX)]],#N/A)</f>
        <v>#N/A</v>
      </c>
      <c r="O81" s="1" t="e">
        <f t="shared" si="42"/>
        <v>#N/A</v>
      </c>
      <c r="P81" s="1" t="e">
        <f t="shared" si="43"/>
        <v>#N/A</v>
      </c>
      <c r="Q81" s="1" t="e">
        <f t="shared" si="44"/>
        <v>#N/A</v>
      </c>
      <c r="R81" s="1" t="e">
        <f t="shared" si="45"/>
        <v>#N/A</v>
      </c>
      <c r="S81" s="1" t="e">
        <f t="shared" si="46"/>
        <v>#N/A</v>
      </c>
      <c r="T81" s="1" t="e">
        <f t="shared" si="47"/>
        <v>#N/A</v>
      </c>
      <c r="U81" s="1" t="e">
        <f t="shared" si="48"/>
        <v>#N/A</v>
      </c>
      <c r="W81" s="1" t="e">
        <f>IF(OR(Table1[[#This Row],[Type (TX, RX, TRX, Oscillator)]]="TRX",Table1[[#This Row],[Type (TX, RX, TRX, Oscillator)]]="TRX FE"),Table1[[#This Row],[Frequency (GHz)]],#N/A)</f>
        <v>#N/A</v>
      </c>
      <c r="X81" s="30" t="e">
        <f>IF(OR(Table1[[#This Row],[Type (TX, RX, TRX, Oscillator)]]="TRX", Table1[[#This Row],[Type (TX, RX, TRX, Oscillator)]]="TRX FE"),DATE(Table1[[#This Row],[Year ]],Table1[[#This Row],[Month]],1),#N/A)</f>
        <v>#N/A</v>
      </c>
      <c r="Y81" s="1" t="e">
        <f>IF(OR(Table1[[#This Row],[Type (TX, RX, TRX, Oscillator)]]="TRX", Table1[[#This Row],[Type (TX, RX, TRX, Oscillator)]]="TRX FE"),Table1[[#This Row],[Total Number of Elements (TX + RX)]],#N/A)</f>
        <v>#N/A</v>
      </c>
      <c r="Z81" s="1" t="e">
        <f t="shared" si="49"/>
        <v>#N/A</v>
      </c>
      <c r="AA81" s="1" t="e">
        <f t="shared" si="50"/>
        <v>#N/A</v>
      </c>
      <c r="AB81" s="1" t="e">
        <f t="shared" si="51"/>
        <v>#N/A</v>
      </c>
      <c r="AC81" s="1" t="e">
        <f t="shared" si="52"/>
        <v>#N/A</v>
      </c>
      <c r="AD81" s="1" t="e">
        <f t="shared" si="53"/>
        <v>#N/A</v>
      </c>
      <c r="AE81" s="1" t="e">
        <f t="shared" si="54"/>
        <v>#N/A</v>
      </c>
      <c r="AF81" s="1" t="e">
        <f t="shared" si="55"/>
        <v>#N/A</v>
      </c>
      <c r="AH81" s="1" t="e">
        <f>IF(Table1[[#This Row],[Type (TX, RX, TRX, Oscillator)]]="Oscillator",Table1[[#This Row],[Frequency (GHz)]],#N/A)</f>
        <v>#N/A</v>
      </c>
      <c r="AI81" s="30" t="e">
        <f>IF(Table1[[#This Row],[Type (TX, RX, TRX, Oscillator)]]="Oscillator",DATE(Table1[[#This Row],[Year ]],Table1[[#This Row],[Month]],1),#N/A)</f>
        <v>#N/A</v>
      </c>
      <c r="AJ81" s="1" t="e">
        <f>IF(Table1[[#This Row],[Type (TX, RX, TRX, Oscillator)]]="Oscillator",Table1[[#This Row],[Total Number of Elements (TX + RX)]],#N/A)</f>
        <v>#N/A</v>
      </c>
      <c r="AK81" s="1" t="e">
        <f t="shared" si="56"/>
        <v>#N/A</v>
      </c>
      <c r="AL81" s="1" t="e">
        <f t="shared" si="57"/>
        <v>#N/A</v>
      </c>
      <c r="AM81" s="1" t="e">
        <f t="shared" si="58"/>
        <v>#N/A</v>
      </c>
      <c r="AN81" s="1" t="e">
        <f t="shared" si="59"/>
        <v>#N/A</v>
      </c>
      <c r="AO81" s="1" t="e">
        <f t="shared" si="60"/>
        <v>#N/A</v>
      </c>
      <c r="AP81" s="1" t="e">
        <f t="shared" si="61"/>
        <v>#N/A</v>
      </c>
      <c r="AQ81" s="1" t="e">
        <f t="shared" si="62"/>
        <v>#N/A</v>
      </c>
      <c r="AS81" s="1" t="e">
        <f>IF(Table1[[#This Row],[Type (TX, RX, TRX, Oscillator)]]="Relay",Table1[[#This Row],[Frequency (GHz)]],#N/A)</f>
        <v>#N/A</v>
      </c>
      <c r="AT81" s="30" t="e">
        <f>IF(Table1[[#This Row],[Type (TX, RX, TRX, Oscillator)]]="Relay",DATE(Table1[[#This Row],[Year ]],Table1[[#This Row],[Month]],1),#N/A)</f>
        <v>#N/A</v>
      </c>
      <c r="AU81" s="1" t="e">
        <f>IF(Table1[[#This Row],[Type (TX, RX, TRX, Oscillator)]]="Relay",Table1[[#This Row],[Total Number of Elements (TX + RX)]],#N/A)</f>
        <v>#N/A</v>
      </c>
      <c r="AV81" s="1" t="e">
        <f t="shared" si="63"/>
        <v>#N/A</v>
      </c>
      <c r="AW81" s="1" t="e">
        <f t="shared" si="64"/>
        <v>#N/A</v>
      </c>
      <c r="AX81" s="1" t="e">
        <f t="shared" si="65"/>
        <v>#N/A</v>
      </c>
      <c r="AY81" s="1" t="e">
        <f t="shared" si="66"/>
        <v>#N/A</v>
      </c>
      <c r="AZ81" s="1" t="e">
        <f t="shared" si="67"/>
        <v>#N/A</v>
      </c>
      <c r="BA81" s="1" t="e">
        <f t="shared" si="68"/>
        <v>#N/A</v>
      </c>
      <c r="BB81" s="1" t="e">
        <f t="shared" si="69"/>
        <v>#N/A</v>
      </c>
    </row>
    <row r="82" spans="1:54" x14ac:dyDescent="0.2">
      <c r="A82" s="1">
        <f>IF(OR(Table1[[#This Row],[Type (TX, RX, TRX, Oscillator)]]="TX", Table1[[#This Row],[Type (TX, RX, TRX, Oscillator)]]="TX FE"),Table1[[#This Row],[Frequency (GHz)]],#N/A)</f>
        <v>18</v>
      </c>
      <c r="B82" s="30">
        <f>IF(OR(Table1[[#This Row],[Type (TX, RX, TRX, Oscillator)]]="TX", Table1[[#This Row],[Type (TX, RX, TRX, Oscillator)]]="TX FE"),DATE(Table1[[#This Row],[Year ]],Table1[[#This Row],[Month]],1),#N/A)</f>
        <v>44531</v>
      </c>
      <c r="C82" s="1">
        <f>IF(OR(Table1[[#This Row],[Type (TX, RX, TRX, Oscillator)]]="TX",Table1[[#This Row],[Type (TX, RX, TRX, Oscillator)]]="TX FE"),Table1[[#This Row],[Total Number of Elements (TX + RX)]],#N/A)</f>
        <v>8</v>
      </c>
      <c r="D82" s="1">
        <f t="shared" si="35"/>
        <v>8</v>
      </c>
      <c r="E82" s="1" t="e">
        <f t="shared" si="36"/>
        <v>#N/A</v>
      </c>
      <c r="F82" s="1" t="e">
        <f t="shared" si="37"/>
        <v>#N/A</v>
      </c>
      <c r="G82" s="1" t="e">
        <f t="shared" si="38"/>
        <v>#N/A</v>
      </c>
      <c r="H82" s="1" t="e">
        <f t="shared" si="39"/>
        <v>#N/A</v>
      </c>
      <c r="I82" s="1" t="e">
        <f t="shared" si="40"/>
        <v>#N/A</v>
      </c>
      <c r="J82" s="1" t="e">
        <f t="shared" si="41"/>
        <v>#N/A</v>
      </c>
      <c r="L82" s="1" t="e">
        <f>IF(OR(Table1[[#This Row],[Type (TX, RX, TRX, Oscillator)]]="RX", Table1[[#This Row],[Type (TX, RX, TRX, Oscillator)]]="RX FE"),Table1[[#This Row],[Frequency (GHz)]],#N/A)</f>
        <v>#N/A</v>
      </c>
      <c r="M82" s="30" t="e">
        <f>IF(OR(Table1[[#This Row],[Type (TX, RX, TRX, Oscillator)]]="RX", Table1[[#This Row],[Type (TX, RX, TRX, Oscillator)]]="RX FE"),DATE(Table1[[#This Row],[Year ]],Table1[[#This Row],[Month]],1),#N/A)</f>
        <v>#N/A</v>
      </c>
      <c r="N82" s="1" t="e">
        <f>IF(OR(Table1[[#This Row],[Type (TX, RX, TRX, Oscillator)]]="RX", Table1[[#This Row],[Type (TX, RX, TRX, Oscillator)]]="RX FE"),Table1[[#This Row],[Total Number of Elements (TX + RX)]],#N/A)</f>
        <v>#N/A</v>
      </c>
      <c r="O82" s="1" t="e">
        <f t="shared" si="42"/>
        <v>#N/A</v>
      </c>
      <c r="P82" s="1" t="e">
        <f t="shared" si="43"/>
        <v>#N/A</v>
      </c>
      <c r="Q82" s="1" t="e">
        <f t="shared" si="44"/>
        <v>#N/A</v>
      </c>
      <c r="R82" s="1" t="e">
        <f t="shared" si="45"/>
        <v>#N/A</v>
      </c>
      <c r="S82" s="1" t="e">
        <f t="shared" si="46"/>
        <v>#N/A</v>
      </c>
      <c r="T82" s="1" t="e">
        <f t="shared" si="47"/>
        <v>#N/A</v>
      </c>
      <c r="U82" s="1" t="e">
        <f t="shared" si="48"/>
        <v>#N/A</v>
      </c>
      <c r="W82" s="1" t="e">
        <f>IF(OR(Table1[[#This Row],[Type (TX, RX, TRX, Oscillator)]]="TRX",Table1[[#This Row],[Type (TX, RX, TRX, Oscillator)]]="TRX FE"),Table1[[#This Row],[Frequency (GHz)]],#N/A)</f>
        <v>#N/A</v>
      </c>
      <c r="X82" s="30" t="e">
        <f>IF(OR(Table1[[#This Row],[Type (TX, RX, TRX, Oscillator)]]="TRX", Table1[[#This Row],[Type (TX, RX, TRX, Oscillator)]]="TRX FE"),DATE(Table1[[#This Row],[Year ]],Table1[[#This Row],[Month]],1),#N/A)</f>
        <v>#N/A</v>
      </c>
      <c r="Y82" s="1" t="e">
        <f>IF(OR(Table1[[#This Row],[Type (TX, RX, TRX, Oscillator)]]="TRX", Table1[[#This Row],[Type (TX, RX, TRX, Oscillator)]]="TRX FE"),Table1[[#This Row],[Total Number of Elements (TX + RX)]],#N/A)</f>
        <v>#N/A</v>
      </c>
      <c r="Z82" s="1" t="e">
        <f t="shared" si="49"/>
        <v>#N/A</v>
      </c>
      <c r="AA82" s="1" t="e">
        <f t="shared" si="50"/>
        <v>#N/A</v>
      </c>
      <c r="AB82" s="1" t="e">
        <f t="shared" si="51"/>
        <v>#N/A</v>
      </c>
      <c r="AC82" s="1" t="e">
        <f t="shared" si="52"/>
        <v>#N/A</v>
      </c>
      <c r="AD82" s="1" t="e">
        <f t="shared" si="53"/>
        <v>#N/A</v>
      </c>
      <c r="AE82" s="1" t="e">
        <f t="shared" si="54"/>
        <v>#N/A</v>
      </c>
      <c r="AF82" s="1" t="e">
        <f t="shared" si="55"/>
        <v>#N/A</v>
      </c>
      <c r="AH82" s="1" t="e">
        <f>IF(Table1[[#This Row],[Type (TX, RX, TRX, Oscillator)]]="Oscillator",Table1[[#This Row],[Frequency (GHz)]],#N/A)</f>
        <v>#N/A</v>
      </c>
      <c r="AI82" s="30" t="e">
        <f>IF(Table1[[#This Row],[Type (TX, RX, TRX, Oscillator)]]="Oscillator",DATE(Table1[[#This Row],[Year ]],Table1[[#This Row],[Month]],1),#N/A)</f>
        <v>#N/A</v>
      </c>
      <c r="AJ82" s="1" t="e">
        <f>IF(Table1[[#This Row],[Type (TX, RX, TRX, Oscillator)]]="Oscillator",Table1[[#This Row],[Total Number of Elements (TX + RX)]],#N/A)</f>
        <v>#N/A</v>
      </c>
      <c r="AK82" s="1" t="e">
        <f t="shared" si="56"/>
        <v>#N/A</v>
      </c>
      <c r="AL82" s="1" t="e">
        <f t="shared" si="57"/>
        <v>#N/A</v>
      </c>
      <c r="AM82" s="1" t="e">
        <f t="shared" si="58"/>
        <v>#N/A</v>
      </c>
      <c r="AN82" s="1" t="e">
        <f t="shared" si="59"/>
        <v>#N/A</v>
      </c>
      <c r="AO82" s="1" t="e">
        <f t="shared" si="60"/>
        <v>#N/A</v>
      </c>
      <c r="AP82" s="1" t="e">
        <f t="shared" si="61"/>
        <v>#N/A</v>
      </c>
      <c r="AQ82" s="1" t="e">
        <f t="shared" si="62"/>
        <v>#N/A</v>
      </c>
      <c r="AS82" s="1" t="e">
        <f>IF(Table1[[#This Row],[Type (TX, RX, TRX, Oscillator)]]="Relay",Table1[[#This Row],[Frequency (GHz)]],#N/A)</f>
        <v>#N/A</v>
      </c>
      <c r="AT82" s="30" t="e">
        <f>IF(Table1[[#This Row],[Type (TX, RX, TRX, Oscillator)]]="Relay",DATE(Table1[[#This Row],[Year ]],Table1[[#This Row],[Month]],1),#N/A)</f>
        <v>#N/A</v>
      </c>
      <c r="AU82" s="1" t="e">
        <f>IF(Table1[[#This Row],[Type (TX, RX, TRX, Oscillator)]]="Relay",Table1[[#This Row],[Total Number of Elements (TX + RX)]],#N/A)</f>
        <v>#N/A</v>
      </c>
      <c r="AV82" s="1" t="e">
        <f t="shared" si="63"/>
        <v>#N/A</v>
      </c>
      <c r="AW82" s="1" t="e">
        <f t="shared" si="64"/>
        <v>#N/A</v>
      </c>
      <c r="AX82" s="1" t="e">
        <f t="shared" si="65"/>
        <v>#N/A</v>
      </c>
      <c r="AY82" s="1" t="e">
        <f t="shared" si="66"/>
        <v>#N/A</v>
      </c>
      <c r="AZ82" s="1" t="e">
        <f t="shared" si="67"/>
        <v>#N/A</v>
      </c>
      <c r="BA82" s="1" t="e">
        <f t="shared" si="68"/>
        <v>#N/A</v>
      </c>
      <c r="BB82" s="1" t="e">
        <f t="shared" si="69"/>
        <v>#N/A</v>
      </c>
    </row>
    <row r="83" spans="1:54" x14ac:dyDescent="0.2">
      <c r="A83" s="1">
        <f>IF(OR(Table1[[#This Row],[Type (TX, RX, TRX, Oscillator)]]="TX", Table1[[#This Row],[Type (TX, RX, TRX, Oscillator)]]="TX FE"),Table1[[#This Row],[Frequency (GHz)]],#N/A)</f>
        <v>30</v>
      </c>
      <c r="B83" s="30">
        <f>IF(OR(Table1[[#This Row],[Type (TX, RX, TRX, Oscillator)]]="TX", Table1[[#This Row],[Type (TX, RX, TRX, Oscillator)]]="TX FE"),DATE(Table1[[#This Row],[Year ]],Table1[[#This Row],[Month]],1),#N/A)</f>
        <v>44531</v>
      </c>
      <c r="C83" s="1">
        <f>IF(OR(Table1[[#This Row],[Type (TX, RX, TRX, Oscillator)]]="TX",Table1[[#This Row],[Type (TX, RX, TRX, Oscillator)]]="TX FE"),Table1[[#This Row],[Total Number of Elements (TX + RX)]],#N/A)</f>
        <v>8</v>
      </c>
      <c r="D83" s="1" t="e">
        <f t="shared" si="35"/>
        <v>#N/A</v>
      </c>
      <c r="E83" s="1">
        <f t="shared" si="36"/>
        <v>8</v>
      </c>
      <c r="F83" s="1" t="e">
        <f t="shared" si="37"/>
        <v>#N/A</v>
      </c>
      <c r="G83" s="1" t="e">
        <f t="shared" si="38"/>
        <v>#N/A</v>
      </c>
      <c r="H83" s="1" t="e">
        <f t="shared" si="39"/>
        <v>#N/A</v>
      </c>
      <c r="I83" s="1" t="e">
        <f t="shared" si="40"/>
        <v>#N/A</v>
      </c>
      <c r="J83" s="1" t="e">
        <f t="shared" si="41"/>
        <v>#N/A</v>
      </c>
      <c r="L83" s="1" t="e">
        <f>IF(OR(Table1[[#This Row],[Type (TX, RX, TRX, Oscillator)]]="RX", Table1[[#This Row],[Type (TX, RX, TRX, Oscillator)]]="RX FE"),Table1[[#This Row],[Frequency (GHz)]],#N/A)</f>
        <v>#N/A</v>
      </c>
      <c r="M83" s="30" t="e">
        <f>IF(OR(Table1[[#This Row],[Type (TX, RX, TRX, Oscillator)]]="RX", Table1[[#This Row],[Type (TX, RX, TRX, Oscillator)]]="RX FE"),DATE(Table1[[#This Row],[Year ]],Table1[[#This Row],[Month]],1),#N/A)</f>
        <v>#N/A</v>
      </c>
      <c r="N83" s="1" t="e">
        <f>IF(OR(Table1[[#This Row],[Type (TX, RX, TRX, Oscillator)]]="RX", Table1[[#This Row],[Type (TX, RX, TRX, Oscillator)]]="RX FE"),Table1[[#This Row],[Total Number of Elements (TX + RX)]],#N/A)</f>
        <v>#N/A</v>
      </c>
      <c r="O83" s="1" t="e">
        <f t="shared" si="42"/>
        <v>#N/A</v>
      </c>
      <c r="P83" s="1" t="e">
        <f t="shared" si="43"/>
        <v>#N/A</v>
      </c>
      <c r="Q83" s="1" t="e">
        <f t="shared" si="44"/>
        <v>#N/A</v>
      </c>
      <c r="R83" s="1" t="e">
        <f t="shared" si="45"/>
        <v>#N/A</v>
      </c>
      <c r="S83" s="1" t="e">
        <f t="shared" si="46"/>
        <v>#N/A</v>
      </c>
      <c r="T83" s="1" t="e">
        <f t="shared" si="47"/>
        <v>#N/A</v>
      </c>
      <c r="U83" s="1" t="e">
        <f t="shared" si="48"/>
        <v>#N/A</v>
      </c>
      <c r="W83" s="1" t="e">
        <f>IF(OR(Table1[[#This Row],[Type (TX, RX, TRX, Oscillator)]]="TRX",Table1[[#This Row],[Type (TX, RX, TRX, Oscillator)]]="TRX FE"),Table1[[#This Row],[Frequency (GHz)]],#N/A)</f>
        <v>#N/A</v>
      </c>
      <c r="X83" s="30" t="e">
        <f>IF(OR(Table1[[#This Row],[Type (TX, RX, TRX, Oscillator)]]="TRX", Table1[[#This Row],[Type (TX, RX, TRX, Oscillator)]]="TRX FE"),DATE(Table1[[#This Row],[Year ]],Table1[[#This Row],[Month]],1),#N/A)</f>
        <v>#N/A</v>
      </c>
      <c r="Y83" s="1" t="e">
        <f>IF(OR(Table1[[#This Row],[Type (TX, RX, TRX, Oscillator)]]="TRX", Table1[[#This Row],[Type (TX, RX, TRX, Oscillator)]]="TRX FE"),Table1[[#This Row],[Total Number of Elements (TX + RX)]],#N/A)</f>
        <v>#N/A</v>
      </c>
      <c r="Z83" s="1" t="e">
        <f t="shared" si="49"/>
        <v>#N/A</v>
      </c>
      <c r="AA83" s="1" t="e">
        <f t="shared" si="50"/>
        <v>#N/A</v>
      </c>
      <c r="AB83" s="1" t="e">
        <f t="shared" si="51"/>
        <v>#N/A</v>
      </c>
      <c r="AC83" s="1" t="e">
        <f t="shared" si="52"/>
        <v>#N/A</v>
      </c>
      <c r="AD83" s="1" t="e">
        <f t="shared" si="53"/>
        <v>#N/A</v>
      </c>
      <c r="AE83" s="1" t="e">
        <f t="shared" si="54"/>
        <v>#N/A</v>
      </c>
      <c r="AF83" s="1" t="e">
        <f t="shared" si="55"/>
        <v>#N/A</v>
      </c>
      <c r="AH83" s="1" t="e">
        <f>IF(Table1[[#This Row],[Type (TX, RX, TRX, Oscillator)]]="Oscillator",Table1[[#This Row],[Frequency (GHz)]],#N/A)</f>
        <v>#N/A</v>
      </c>
      <c r="AI83" s="30" t="e">
        <f>IF(Table1[[#This Row],[Type (TX, RX, TRX, Oscillator)]]="Oscillator",DATE(Table1[[#This Row],[Year ]],Table1[[#This Row],[Month]],1),#N/A)</f>
        <v>#N/A</v>
      </c>
      <c r="AJ83" s="1" t="e">
        <f>IF(Table1[[#This Row],[Type (TX, RX, TRX, Oscillator)]]="Oscillator",Table1[[#This Row],[Total Number of Elements (TX + RX)]],#N/A)</f>
        <v>#N/A</v>
      </c>
      <c r="AK83" s="1" t="e">
        <f t="shared" si="56"/>
        <v>#N/A</v>
      </c>
      <c r="AL83" s="1" t="e">
        <f t="shared" si="57"/>
        <v>#N/A</v>
      </c>
      <c r="AM83" s="1" t="e">
        <f t="shared" si="58"/>
        <v>#N/A</v>
      </c>
      <c r="AN83" s="1" t="e">
        <f t="shared" si="59"/>
        <v>#N/A</v>
      </c>
      <c r="AO83" s="1" t="e">
        <f t="shared" si="60"/>
        <v>#N/A</v>
      </c>
      <c r="AP83" s="1" t="e">
        <f t="shared" si="61"/>
        <v>#N/A</v>
      </c>
      <c r="AQ83" s="1" t="e">
        <f t="shared" si="62"/>
        <v>#N/A</v>
      </c>
      <c r="AS83" s="1" t="e">
        <f>IF(Table1[[#This Row],[Type (TX, RX, TRX, Oscillator)]]="Relay",Table1[[#This Row],[Frequency (GHz)]],#N/A)</f>
        <v>#N/A</v>
      </c>
      <c r="AT83" s="30" t="e">
        <f>IF(Table1[[#This Row],[Type (TX, RX, TRX, Oscillator)]]="Relay",DATE(Table1[[#This Row],[Year ]],Table1[[#This Row],[Month]],1),#N/A)</f>
        <v>#N/A</v>
      </c>
      <c r="AU83" s="1" t="e">
        <f>IF(Table1[[#This Row],[Type (TX, RX, TRX, Oscillator)]]="Relay",Table1[[#This Row],[Total Number of Elements (TX + RX)]],#N/A)</f>
        <v>#N/A</v>
      </c>
      <c r="AV83" s="1" t="e">
        <f t="shared" si="63"/>
        <v>#N/A</v>
      </c>
      <c r="AW83" s="1" t="e">
        <f t="shared" si="64"/>
        <v>#N/A</v>
      </c>
      <c r="AX83" s="1" t="e">
        <f t="shared" si="65"/>
        <v>#N/A</v>
      </c>
      <c r="AY83" s="1" t="e">
        <f t="shared" si="66"/>
        <v>#N/A</v>
      </c>
      <c r="AZ83" s="1" t="e">
        <f t="shared" si="67"/>
        <v>#N/A</v>
      </c>
      <c r="BA83" s="1" t="e">
        <f t="shared" si="68"/>
        <v>#N/A</v>
      </c>
      <c r="BB83" s="1" t="e">
        <f t="shared" si="69"/>
        <v>#N/A</v>
      </c>
    </row>
    <row r="84" spans="1:54" x14ac:dyDescent="0.2">
      <c r="A84" s="1">
        <f>IF(OR(Table1[[#This Row],[Type (TX, RX, TRX, Oscillator)]]="TX", Table1[[#This Row],[Type (TX, RX, TRX, Oscillator)]]="TX FE"),Table1[[#This Row],[Frequency (GHz)]],#N/A)</f>
        <v>50</v>
      </c>
      <c r="B84" s="30">
        <f>IF(OR(Table1[[#This Row],[Type (TX, RX, TRX, Oscillator)]]="TX", Table1[[#This Row],[Type (TX, RX, TRX, Oscillator)]]="TX FE"),DATE(Table1[[#This Row],[Year ]],Table1[[#This Row],[Month]],1),#N/A)</f>
        <v>44531</v>
      </c>
      <c r="C84" s="1">
        <f>IF(OR(Table1[[#This Row],[Type (TX, RX, TRX, Oscillator)]]="TX",Table1[[#This Row],[Type (TX, RX, TRX, Oscillator)]]="TX FE"),Table1[[#This Row],[Total Number of Elements (TX + RX)]],#N/A)</f>
        <v>8</v>
      </c>
      <c r="D84" s="1" t="e">
        <f t="shared" si="35"/>
        <v>#N/A</v>
      </c>
      <c r="E84" s="1" t="e">
        <f t="shared" si="36"/>
        <v>#N/A</v>
      </c>
      <c r="F84" s="1">
        <f t="shared" si="37"/>
        <v>8</v>
      </c>
      <c r="G84" s="1" t="e">
        <f t="shared" si="38"/>
        <v>#N/A</v>
      </c>
      <c r="H84" s="1" t="e">
        <f t="shared" si="39"/>
        <v>#N/A</v>
      </c>
      <c r="I84" s="1" t="e">
        <f t="shared" si="40"/>
        <v>#N/A</v>
      </c>
      <c r="J84" s="1" t="e">
        <f t="shared" si="41"/>
        <v>#N/A</v>
      </c>
      <c r="L84" s="1" t="e">
        <f>IF(OR(Table1[[#This Row],[Type (TX, RX, TRX, Oscillator)]]="RX", Table1[[#This Row],[Type (TX, RX, TRX, Oscillator)]]="RX FE"),Table1[[#This Row],[Frequency (GHz)]],#N/A)</f>
        <v>#N/A</v>
      </c>
      <c r="M84" s="30" t="e">
        <f>IF(OR(Table1[[#This Row],[Type (TX, RX, TRX, Oscillator)]]="RX", Table1[[#This Row],[Type (TX, RX, TRX, Oscillator)]]="RX FE"),DATE(Table1[[#This Row],[Year ]],Table1[[#This Row],[Month]],1),#N/A)</f>
        <v>#N/A</v>
      </c>
      <c r="N84" s="1" t="e">
        <f>IF(OR(Table1[[#This Row],[Type (TX, RX, TRX, Oscillator)]]="RX", Table1[[#This Row],[Type (TX, RX, TRX, Oscillator)]]="RX FE"),Table1[[#This Row],[Total Number of Elements (TX + RX)]],#N/A)</f>
        <v>#N/A</v>
      </c>
      <c r="O84" s="1" t="e">
        <f t="shared" si="42"/>
        <v>#N/A</v>
      </c>
      <c r="P84" s="1" t="e">
        <f t="shared" si="43"/>
        <v>#N/A</v>
      </c>
      <c r="Q84" s="1" t="e">
        <f t="shared" si="44"/>
        <v>#N/A</v>
      </c>
      <c r="R84" s="1" t="e">
        <f t="shared" si="45"/>
        <v>#N/A</v>
      </c>
      <c r="S84" s="1" t="e">
        <f t="shared" si="46"/>
        <v>#N/A</v>
      </c>
      <c r="T84" s="1" t="e">
        <f t="shared" si="47"/>
        <v>#N/A</v>
      </c>
      <c r="U84" s="1" t="e">
        <f t="shared" si="48"/>
        <v>#N/A</v>
      </c>
      <c r="W84" s="1" t="e">
        <f>IF(OR(Table1[[#This Row],[Type (TX, RX, TRX, Oscillator)]]="TRX",Table1[[#This Row],[Type (TX, RX, TRX, Oscillator)]]="TRX FE"),Table1[[#This Row],[Frequency (GHz)]],#N/A)</f>
        <v>#N/A</v>
      </c>
      <c r="X84" s="30" t="e">
        <f>IF(OR(Table1[[#This Row],[Type (TX, RX, TRX, Oscillator)]]="TRX", Table1[[#This Row],[Type (TX, RX, TRX, Oscillator)]]="TRX FE"),DATE(Table1[[#This Row],[Year ]],Table1[[#This Row],[Month]],1),#N/A)</f>
        <v>#N/A</v>
      </c>
      <c r="Y84" s="1" t="e">
        <f>IF(OR(Table1[[#This Row],[Type (TX, RX, TRX, Oscillator)]]="TRX", Table1[[#This Row],[Type (TX, RX, TRX, Oscillator)]]="TRX FE"),Table1[[#This Row],[Total Number of Elements (TX + RX)]],#N/A)</f>
        <v>#N/A</v>
      </c>
      <c r="Z84" s="1" t="e">
        <f t="shared" si="49"/>
        <v>#N/A</v>
      </c>
      <c r="AA84" s="1" t="e">
        <f t="shared" si="50"/>
        <v>#N/A</v>
      </c>
      <c r="AB84" s="1" t="e">
        <f t="shared" si="51"/>
        <v>#N/A</v>
      </c>
      <c r="AC84" s="1" t="e">
        <f t="shared" si="52"/>
        <v>#N/A</v>
      </c>
      <c r="AD84" s="1" t="e">
        <f t="shared" si="53"/>
        <v>#N/A</v>
      </c>
      <c r="AE84" s="1" t="e">
        <f t="shared" si="54"/>
        <v>#N/A</v>
      </c>
      <c r="AF84" s="1" t="e">
        <f t="shared" si="55"/>
        <v>#N/A</v>
      </c>
      <c r="AH84" s="1" t="e">
        <f>IF(Table1[[#This Row],[Type (TX, RX, TRX, Oscillator)]]="Oscillator",Table1[[#This Row],[Frequency (GHz)]],#N/A)</f>
        <v>#N/A</v>
      </c>
      <c r="AI84" s="30" t="e">
        <f>IF(Table1[[#This Row],[Type (TX, RX, TRX, Oscillator)]]="Oscillator",DATE(Table1[[#This Row],[Year ]],Table1[[#This Row],[Month]],1),#N/A)</f>
        <v>#N/A</v>
      </c>
      <c r="AJ84" s="1" t="e">
        <f>IF(Table1[[#This Row],[Type (TX, RX, TRX, Oscillator)]]="Oscillator",Table1[[#This Row],[Total Number of Elements (TX + RX)]],#N/A)</f>
        <v>#N/A</v>
      </c>
      <c r="AK84" s="1" t="e">
        <f t="shared" si="56"/>
        <v>#N/A</v>
      </c>
      <c r="AL84" s="1" t="e">
        <f t="shared" si="57"/>
        <v>#N/A</v>
      </c>
      <c r="AM84" s="1" t="e">
        <f t="shared" si="58"/>
        <v>#N/A</v>
      </c>
      <c r="AN84" s="1" t="e">
        <f t="shared" si="59"/>
        <v>#N/A</v>
      </c>
      <c r="AO84" s="1" t="e">
        <f t="shared" si="60"/>
        <v>#N/A</v>
      </c>
      <c r="AP84" s="1" t="e">
        <f t="shared" si="61"/>
        <v>#N/A</v>
      </c>
      <c r="AQ84" s="1" t="e">
        <f t="shared" si="62"/>
        <v>#N/A</v>
      </c>
      <c r="AS84" s="1" t="e">
        <f>IF(Table1[[#This Row],[Type (TX, RX, TRX, Oscillator)]]="Relay",Table1[[#This Row],[Frequency (GHz)]],#N/A)</f>
        <v>#N/A</v>
      </c>
      <c r="AT84" s="30" t="e">
        <f>IF(Table1[[#This Row],[Type (TX, RX, TRX, Oscillator)]]="Relay",DATE(Table1[[#This Row],[Year ]],Table1[[#This Row],[Month]],1),#N/A)</f>
        <v>#N/A</v>
      </c>
      <c r="AU84" s="1" t="e">
        <f>IF(Table1[[#This Row],[Type (TX, RX, TRX, Oscillator)]]="Relay",Table1[[#This Row],[Total Number of Elements (TX + RX)]],#N/A)</f>
        <v>#N/A</v>
      </c>
      <c r="AV84" s="1" t="e">
        <f t="shared" si="63"/>
        <v>#N/A</v>
      </c>
      <c r="AW84" s="1" t="e">
        <f t="shared" si="64"/>
        <v>#N/A</v>
      </c>
      <c r="AX84" s="1" t="e">
        <f t="shared" si="65"/>
        <v>#N/A</v>
      </c>
      <c r="AY84" s="1" t="e">
        <f t="shared" si="66"/>
        <v>#N/A</v>
      </c>
      <c r="AZ84" s="1" t="e">
        <f t="shared" si="67"/>
        <v>#N/A</v>
      </c>
      <c r="BA84" s="1" t="e">
        <f t="shared" si="68"/>
        <v>#N/A</v>
      </c>
      <c r="BB84" s="1" t="e">
        <f t="shared" si="69"/>
        <v>#N/A</v>
      </c>
    </row>
    <row r="85" spans="1:54" x14ac:dyDescent="0.2">
      <c r="A85" s="1" t="e">
        <f>IF(OR(Table1[[#This Row],[Type (TX, RX, TRX, Oscillator)]]="TX", Table1[[#This Row],[Type (TX, RX, TRX, Oscillator)]]="TX FE"),Table1[[#This Row],[Frequency (GHz)]],#N/A)</f>
        <v>#N/A</v>
      </c>
      <c r="B85" s="30" t="e">
        <f>IF(OR(Table1[[#This Row],[Type (TX, RX, TRX, Oscillator)]]="TX", Table1[[#This Row],[Type (TX, RX, TRX, Oscillator)]]="TX FE"),DATE(Table1[[#This Row],[Year ]],Table1[[#This Row],[Month]],1),#N/A)</f>
        <v>#N/A</v>
      </c>
      <c r="C85" s="1" t="e">
        <f>IF(OR(Table1[[#This Row],[Type (TX, RX, TRX, Oscillator)]]="TX",Table1[[#This Row],[Type (TX, RX, TRX, Oscillator)]]="TX FE"),Table1[[#This Row],[Total Number of Elements (TX + RX)]],#N/A)</f>
        <v>#N/A</v>
      </c>
      <c r="D85" s="1" t="e">
        <f t="shared" si="35"/>
        <v>#N/A</v>
      </c>
      <c r="E85" s="1" t="e">
        <f t="shared" si="36"/>
        <v>#N/A</v>
      </c>
      <c r="F85" s="1" t="e">
        <f t="shared" si="37"/>
        <v>#N/A</v>
      </c>
      <c r="G85" s="1" t="e">
        <f t="shared" si="38"/>
        <v>#N/A</v>
      </c>
      <c r="H85" s="1" t="e">
        <f t="shared" si="39"/>
        <v>#N/A</v>
      </c>
      <c r="I85" s="1" t="e">
        <f t="shared" si="40"/>
        <v>#N/A</v>
      </c>
      <c r="J85" s="1" t="e">
        <f t="shared" si="41"/>
        <v>#N/A</v>
      </c>
      <c r="L85" s="1" t="e">
        <f>IF(OR(Table1[[#This Row],[Type (TX, RX, TRX, Oscillator)]]="RX", Table1[[#This Row],[Type (TX, RX, TRX, Oscillator)]]="RX FE"),Table1[[#This Row],[Frequency (GHz)]],#N/A)</f>
        <v>#N/A</v>
      </c>
      <c r="M85" s="30" t="e">
        <f>IF(OR(Table1[[#This Row],[Type (TX, RX, TRX, Oscillator)]]="RX", Table1[[#This Row],[Type (TX, RX, TRX, Oscillator)]]="RX FE"),DATE(Table1[[#This Row],[Year ]],Table1[[#This Row],[Month]],1),#N/A)</f>
        <v>#N/A</v>
      </c>
      <c r="N85" s="1" t="e">
        <f>IF(OR(Table1[[#This Row],[Type (TX, RX, TRX, Oscillator)]]="RX", Table1[[#This Row],[Type (TX, RX, TRX, Oscillator)]]="RX FE"),Table1[[#This Row],[Total Number of Elements (TX + RX)]],#N/A)</f>
        <v>#N/A</v>
      </c>
      <c r="O85" s="1" t="e">
        <f t="shared" si="42"/>
        <v>#N/A</v>
      </c>
      <c r="P85" s="1" t="e">
        <f t="shared" si="43"/>
        <v>#N/A</v>
      </c>
      <c r="Q85" s="1" t="e">
        <f t="shared" si="44"/>
        <v>#N/A</v>
      </c>
      <c r="R85" s="1" t="e">
        <f t="shared" si="45"/>
        <v>#N/A</v>
      </c>
      <c r="S85" s="1" t="e">
        <f t="shared" si="46"/>
        <v>#N/A</v>
      </c>
      <c r="T85" s="1" t="e">
        <f t="shared" si="47"/>
        <v>#N/A</v>
      </c>
      <c r="U85" s="1" t="e">
        <f t="shared" si="48"/>
        <v>#N/A</v>
      </c>
      <c r="W85" s="1">
        <f>IF(OR(Table1[[#This Row],[Type (TX, RX, TRX, Oscillator)]]="TRX",Table1[[#This Row],[Type (TX, RX, TRX, Oscillator)]]="TRX FE"),Table1[[#This Row],[Frequency (GHz)]],#N/A)</f>
        <v>310</v>
      </c>
      <c r="X85" s="30">
        <f>IF(OR(Table1[[#This Row],[Type (TX, RX, TRX, Oscillator)]]="TRX", Table1[[#This Row],[Type (TX, RX, TRX, Oscillator)]]="TRX FE"),DATE(Table1[[#This Row],[Year ]],Table1[[#This Row],[Month]],1),#N/A)</f>
        <v>44562</v>
      </c>
      <c r="Y85" s="1">
        <f>IF(OR(Table1[[#This Row],[Type (TX, RX, TRX, Oscillator)]]="TRX", Table1[[#This Row],[Type (TX, RX, TRX, Oscillator)]]="TRX FE"),Table1[[#This Row],[Total Number of Elements (TX + RX)]],#N/A)</f>
        <v>16</v>
      </c>
      <c r="Z85" s="1" t="e">
        <f t="shared" si="49"/>
        <v>#N/A</v>
      </c>
      <c r="AA85" s="1" t="e">
        <f t="shared" si="50"/>
        <v>#N/A</v>
      </c>
      <c r="AB85" s="1" t="e">
        <f t="shared" si="51"/>
        <v>#N/A</v>
      </c>
      <c r="AC85" s="1" t="e">
        <f t="shared" si="52"/>
        <v>#N/A</v>
      </c>
      <c r="AD85" s="1" t="e">
        <f t="shared" si="53"/>
        <v>#N/A</v>
      </c>
      <c r="AE85" s="1" t="e">
        <f t="shared" si="54"/>
        <v>#N/A</v>
      </c>
      <c r="AF85" s="1">
        <f t="shared" si="55"/>
        <v>16</v>
      </c>
      <c r="AH85" s="1" t="e">
        <f>IF(Table1[[#This Row],[Type (TX, RX, TRX, Oscillator)]]="Oscillator",Table1[[#This Row],[Frequency (GHz)]],#N/A)</f>
        <v>#N/A</v>
      </c>
      <c r="AI85" s="30" t="e">
        <f>IF(Table1[[#This Row],[Type (TX, RX, TRX, Oscillator)]]="Oscillator",DATE(Table1[[#This Row],[Year ]],Table1[[#This Row],[Month]],1),#N/A)</f>
        <v>#N/A</v>
      </c>
      <c r="AJ85" s="1" t="e">
        <f>IF(Table1[[#This Row],[Type (TX, RX, TRX, Oscillator)]]="Oscillator",Table1[[#This Row],[Total Number of Elements (TX + RX)]],#N/A)</f>
        <v>#N/A</v>
      </c>
      <c r="AK85" s="1" t="e">
        <f t="shared" si="56"/>
        <v>#N/A</v>
      </c>
      <c r="AL85" s="1" t="e">
        <f t="shared" si="57"/>
        <v>#N/A</v>
      </c>
      <c r="AM85" s="1" t="e">
        <f t="shared" si="58"/>
        <v>#N/A</v>
      </c>
      <c r="AN85" s="1" t="e">
        <f t="shared" si="59"/>
        <v>#N/A</v>
      </c>
      <c r="AO85" s="1" t="e">
        <f t="shared" si="60"/>
        <v>#N/A</v>
      </c>
      <c r="AP85" s="1" t="e">
        <f t="shared" si="61"/>
        <v>#N/A</v>
      </c>
      <c r="AQ85" s="1" t="e">
        <f t="shared" si="62"/>
        <v>#N/A</v>
      </c>
      <c r="AS85" s="1" t="e">
        <f>IF(Table1[[#This Row],[Type (TX, RX, TRX, Oscillator)]]="Relay",Table1[[#This Row],[Frequency (GHz)]],#N/A)</f>
        <v>#N/A</v>
      </c>
      <c r="AT85" s="30" t="e">
        <f>IF(Table1[[#This Row],[Type (TX, RX, TRX, Oscillator)]]="Relay",DATE(Table1[[#This Row],[Year ]],Table1[[#This Row],[Month]],1),#N/A)</f>
        <v>#N/A</v>
      </c>
      <c r="AU85" s="1" t="e">
        <f>IF(Table1[[#This Row],[Type (TX, RX, TRX, Oscillator)]]="Relay",Table1[[#This Row],[Total Number of Elements (TX + RX)]],#N/A)</f>
        <v>#N/A</v>
      </c>
      <c r="AV85" s="1" t="e">
        <f t="shared" si="63"/>
        <v>#N/A</v>
      </c>
      <c r="AW85" s="1" t="e">
        <f t="shared" si="64"/>
        <v>#N/A</v>
      </c>
      <c r="AX85" s="1" t="e">
        <f t="shared" si="65"/>
        <v>#N/A</v>
      </c>
      <c r="AY85" s="1" t="e">
        <f t="shared" si="66"/>
        <v>#N/A</v>
      </c>
      <c r="AZ85" s="1" t="e">
        <f t="shared" si="67"/>
        <v>#N/A</v>
      </c>
      <c r="BA85" s="1" t="e">
        <f t="shared" si="68"/>
        <v>#N/A</v>
      </c>
      <c r="BB85" s="1" t="e">
        <f t="shared" si="69"/>
        <v>#N/A</v>
      </c>
    </row>
    <row r="86" spans="1:54" x14ac:dyDescent="0.2">
      <c r="A86" s="1" t="e">
        <f>IF(OR(Table1[[#This Row],[Type (TX, RX, TRX, Oscillator)]]="TX", Table1[[#This Row],[Type (TX, RX, TRX, Oscillator)]]="TX FE"),Table1[[#This Row],[Frequency (GHz)]],#N/A)</f>
        <v>#N/A</v>
      </c>
      <c r="B86" s="30" t="e">
        <f>IF(OR(Table1[[#This Row],[Type (TX, RX, TRX, Oscillator)]]="TX", Table1[[#This Row],[Type (TX, RX, TRX, Oscillator)]]="TX FE"),DATE(Table1[[#This Row],[Year ]],Table1[[#This Row],[Month]],1),#N/A)</f>
        <v>#N/A</v>
      </c>
      <c r="C86" s="1" t="e">
        <f>IF(OR(Table1[[#This Row],[Type (TX, RX, TRX, Oscillator)]]="TX",Table1[[#This Row],[Type (TX, RX, TRX, Oscillator)]]="TX FE"),Table1[[#This Row],[Total Number of Elements (TX + RX)]],#N/A)</f>
        <v>#N/A</v>
      </c>
      <c r="D86" s="1" t="e">
        <f t="shared" si="35"/>
        <v>#N/A</v>
      </c>
      <c r="E86" s="1" t="e">
        <f t="shared" si="36"/>
        <v>#N/A</v>
      </c>
      <c r="F86" s="1" t="e">
        <f t="shared" si="37"/>
        <v>#N/A</v>
      </c>
      <c r="G86" s="1" t="e">
        <f t="shared" si="38"/>
        <v>#N/A</v>
      </c>
      <c r="H86" s="1" t="e">
        <f t="shared" si="39"/>
        <v>#N/A</v>
      </c>
      <c r="I86" s="1" t="e">
        <f t="shared" si="40"/>
        <v>#N/A</v>
      </c>
      <c r="J86" s="1" t="e">
        <f t="shared" si="41"/>
        <v>#N/A</v>
      </c>
      <c r="L86" s="1" t="e">
        <f>IF(OR(Table1[[#This Row],[Type (TX, RX, TRX, Oscillator)]]="RX", Table1[[#This Row],[Type (TX, RX, TRX, Oscillator)]]="RX FE"),Table1[[#This Row],[Frequency (GHz)]],#N/A)</f>
        <v>#N/A</v>
      </c>
      <c r="M86" s="30" t="e">
        <f>IF(OR(Table1[[#This Row],[Type (TX, RX, TRX, Oscillator)]]="RX", Table1[[#This Row],[Type (TX, RX, TRX, Oscillator)]]="RX FE"),DATE(Table1[[#This Row],[Year ]],Table1[[#This Row],[Month]],1),#N/A)</f>
        <v>#N/A</v>
      </c>
      <c r="N86" s="1" t="e">
        <f>IF(OR(Table1[[#This Row],[Type (TX, RX, TRX, Oscillator)]]="RX", Table1[[#This Row],[Type (TX, RX, TRX, Oscillator)]]="RX FE"),Table1[[#This Row],[Total Number of Elements (TX + RX)]],#N/A)</f>
        <v>#N/A</v>
      </c>
      <c r="O86" s="1" t="e">
        <f t="shared" si="42"/>
        <v>#N/A</v>
      </c>
      <c r="P86" s="1" t="e">
        <f t="shared" si="43"/>
        <v>#N/A</v>
      </c>
      <c r="Q86" s="1" t="e">
        <f t="shared" si="44"/>
        <v>#N/A</v>
      </c>
      <c r="R86" s="1" t="e">
        <f t="shared" si="45"/>
        <v>#N/A</v>
      </c>
      <c r="S86" s="1" t="e">
        <f t="shared" si="46"/>
        <v>#N/A</v>
      </c>
      <c r="T86" s="1" t="e">
        <f t="shared" si="47"/>
        <v>#N/A</v>
      </c>
      <c r="U86" s="1" t="e">
        <f t="shared" si="48"/>
        <v>#N/A</v>
      </c>
      <c r="W86" s="1" t="e">
        <f>IF(OR(Table1[[#This Row],[Type (TX, RX, TRX, Oscillator)]]="TRX",Table1[[#This Row],[Type (TX, RX, TRX, Oscillator)]]="TRX FE"),Table1[[#This Row],[Frequency (GHz)]],#N/A)</f>
        <v>#N/A</v>
      </c>
      <c r="X86" s="30" t="e">
        <f>IF(OR(Table1[[#This Row],[Type (TX, RX, TRX, Oscillator)]]="TRX", Table1[[#This Row],[Type (TX, RX, TRX, Oscillator)]]="TRX FE"),DATE(Table1[[#This Row],[Year ]],Table1[[#This Row],[Month]],1),#N/A)</f>
        <v>#N/A</v>
      </c>
      <c r="Y86" s="1" t="e">
        <f>IF(OR(Table1[[#This Row],[Type (TX, RX, TRX, Oscillator)]]="TRX", Table1[[#This Row],[Type (TX, RX, TRX, Oscillator)]]="TRX FE"),Table1[[#This Row],[Total Number of Elements (TX + RX)]],#N/A)</f>
        <v>#N/A</v>
      </c>
      <c r="Z86" s="1" t="e">
        <f t="shared" si="49"/>
        <v>#N/A</v>
      </c>
      <c r="AA86" s="1" t="e">
        <f t="shared" si="50"/>
        <v>#N/A</v>
      </c>
      <c r="AB86" s="1" t="e">
        <f t="shared" si="51"/>
        <v>#N/A</v>
      </c>
      <c r="AC86" s="1" t="e">
        <f t="shared" si="52"/>
        <v>#N/A</v>
      </c>
      <c r="AD86" s="1" t="e">
        <f t="shared" si="53"/>
        <v>#N/A</v>
      </c>
      <c r="AE86" s="1" t="e">
        <f t="shared" si="54"/>
        <v>#N/A</v>
      </c>
      <c r="AF86" s="1" t="e">
        <f t="shared" si="55"/>
        <v>#N/A</v>
      </c>
      <c r="AH86" s="1" t="e">
        <f>IF(Table1[[#This Row],[Type (TX, RX, TRX, Oscillator)]]="Oscillator",Table1[[#This Row],[Frequency (GHz)]],#N/A)</f>
        <v>#N/A</v>
      </c>
      <c r="AI86" s="30" t="e">
        <f>IF(Table1[[#This Row],[Type (TX, RX, TRX, Oscillator)]]="Oscillator",DATE(Table1[[#This Row],[Year ]],Table1[[#This Row],[Month]],1),#N/A)</f>
        <v>#N/A</v>
      </c>
      <c r="AJ86" s="1" t="e">
        <f>IF(Table1[[#This Row],[Type (TX, RX, TRX, Oscillator)]]="Oscillator",Table1[[#This Row],[Total Number of Elements (TX + RX)]],#N/A)</f>
        <v>#N/A</v>
      </c>
      <c r="AK86" s="1" t="e">
        <f t="shared" si="56"/>
        <v>#N/A</v>
      </c>
      <c r="AL86" s="1" t="e">
        <f t="shared" si="57"/>
        <v>#N/A</v>
      </c>
      <c r="AM86" s="1" t="e">
        <f t="shared" si="58"/>
        <v>#N/A</v>
      </c>
      <c r="AN86" s="1" t="e">
        <f t="shared" si="59"/>
        <v>#N/A</v>
      </c>
      <c r="AO86" s="1" t="e">
        <f t="shared" si="60"/>
        <v>#N/A</v>
      </c>
      <c r="AP86" s="1" t="e">
        <f t="shared" si="61"/>
        <v>#N/A</v>
      </c>
      <c r="AQ86" s="1" t="e">
        <f t="shared" si="62"/>
        <v>#N/A</v>
      </c>
      <c r="AS86" s="1">
        <f>IF(Table1[[#This Row],[Type (TX, RX, TRX, Oscillator)]]="Relay",Table1[[#This Row],[Frequency (GHz)]],#N/A)</f>
        <v>28</v>
      </c>
      <c r="AT86" s="30">
        <f>IF(Table1[[#This Row],[Type (TX, RX, TRX, Oscillator)]]="Relay",DATE(Table1[[#This Row],[Year ]],Table1[[#This Row],[Month]],1),#N/A)</f>
        <v>44562</v>
      </c>
      <c r="AU86" s="1">
        <f>IF(Table1[[#This Row],[Type (TX, RX, TRX, Oscillator)]]="Relay",Table1[[#This Row],[Total Number of Elements (TX + RX)]],#N/A)</f>
        <v>36</v>
      </c>
      <c r="AV86" s="1" t="e">
        <f t="shared" si="63"/>
        <v>#N/A</v>
      </c>
      <c r="AW86" s="1">
        <f t="shared" si="64"/>
        <v>36</v>
      </c>
      <c r="AX86" s="1" t="e">
        <f t="shared" si="65"/>
        <v>#N/A</v>
      </c>
      <c r="AY86" s="1" t="e">
        <f t="shared" si="66"/>
        <v>#N/A</v>
      </c>
      <c r="AZ86" s="1" t="e">
        <f t="shared" si="67"/>
        <v>#N/A</v>
      </c>
      <c r="BA86" s="1" t="e">
        <f t="shared" si="68"/>
        <v>#N/A</v>
      </c>
      <c r="BB86" s="1" t="e">
        <f t="shared" si="69"/>
        <v>#N/A</v>
      </c>
    </row>
    <row r="87" spans="1:54" x14ac:dyDescent="0.2">
      <c r="A87" s="1" t="e">
        <f>IF(OR(Table1[[#This Row],[Type (TX, RX, TRX, Oscillator)]]="TX", Table1[[#This Row],[Type (TX, RX, TRX, Oscillator)]]="TX FE"),Table1[[#This Row],[Frequency (GHz)]],#N/A)</f>
        <v>#N/A</v>
      </c>
      <c r="B87" s="30" t="e">
        <f>IF(OR(Table1[[#This Row],[Type (TX, RX, TRX, Oscillator)]]="TX", Table1[[#This Row],[Type (TX, RX, TRX, Oscillator)]]="TX FE"),DATE(Table1[[#This Row],[Year ]],Table1[[#This Row],[Month]],1),#N/A)</f>
        <v>#N/A</v>
      </c>
      <c r="C87" s="1" t="e">
        <f>IF(OR(Table1[[#This Row],[Type (TX, RX, TRX, Oscillator)]]="TX",Table1[[#This Row],[Type (TX, RX, TRX, Oscillator)]]="TX FE"),Table1[[#This Row],[Total Number of Elements (TX + RX)]],#N/A)</f>
        <v>#N/A</v>
      </c>
      <c r="D87" s="1" t="e">
        <f t="shared" si="35"/>
        <v>#N/A</v>
      </c>
      <c r="E87" s="1" t="e">
        <f t="shared" si="36"/>
        <v>#N/A</v>
      </c>
      <c r="F87" s="1" t="e">
        <f t="shared" si="37"/>
        <v>#N/A</v>
      </c>
      <c r="G87" s="1" t="e">
        <f t="shared" si="38"/>
        <v>#N/A</v>
      </c>
      <c r="H87" s="1" t="e">
        <f t="shared" si="39"/>
        <v>#N/A</v>
      </c>
      <c r="I87" s="1" t="e">
        <f t="shared" si="40"/>
        <v>#N/A</v>
      </c>
      <c r="J87" s="1" t="e">
        <f t="shared" si="41"/>
        <v>#N/A</v>
      </c>
      <c r="L87" s="1">
        <f>IF(OR(Table1[[#This Row],[Type (TX, RX, TRX, Oscillator)]]="RX", Table1[[#This Row],[Type (TX, RX, TRX, Oscillator)]]="RX FE"),Table1[[#This Row],[Frequency (GHz)]],#N/A)</f>
        <v>15</v>
      </c>
      <c r="M87" s="30">
        <f>IF(OR(Table1[[#This Row],[Type (TX, RX, TRX, Oscillator)]]="RX", Table1[[#This Row],[Type (TX, RX, TRX, Oscillator)]]="RX FE"),DATE(Table1[[#This Row],[Year ]],Table1[[#This Row],[Month]],1),#N/A)</f>
        <v>44562</v>
      </c>
      <c r="N87" s="1">
        <f>IF(OR(Table1[[#This Row],[Type (TX, RX, TRX, Oscillator)]]="RX", Table1[[#This Row],[Type (TX, RX, TRX, Oscillator)]]="RX FE"),Table1[[#This Row],[Total Number of Elements (TX + RX)]],#N/A)</f>
        <v>8</v>
      </c>
      <c r="O87" s="1">
        <f t="shared" si="42"/>
        <v>8</v>
      </c>
      <c r="P87" s="1" t="e">
        <f t="shared" si="43"/>
        <v>#N/A</v>
      </c>
      <c r="Q87" s="1" t="e">
        <f t="shared" si="44"/>
        <v>#N/A</v>
      </c>
      <c r="R87" s="1" t="e">
        <f t="shared" si="45"/>
        <v>#N/A</v>
      </c>
      <c r="S87" s="1" t="e">
        <f t="shared" si="46"/>
        <v>#N/A</v>
      </c>
      <c r="T87" s="1" t="e">
        <f t="shared" si="47"/>
        <v>#N/A</v>
      </c>
      <c r="U87" s="1" t="e">
        <f t="shared" si="48"/>
        <v>#N/A</v>
      </c>
      <c r="W87" s="1" t="e">
        <f>IF(OR(Table1[[#This Row],[Type (TX, RX, TRX, Oscillator)]]="TRX",Table1[[#This Row],[Type (TX, RX, TRX, Oscillator)]]="TRX FE"),Table1[[#This Row],[Frequency (GHz)]],#N/A)</f>
        <v>#N/A</v>
      </c>
      <c r="X87" s="30" t="e">
        <f>IF(OR(Table1[[#This Row],[Type (TX, RX, TRX, Oscillator)]]="TRX", Table1[[#This Row],[Type (TX, RX, TRX, Oscillator)]]="TRX FE"),DATE(Table1[[#This Row],[Year ]],Table1[[#This Row],[Month]],1),#N/A)</f>
        <v>#N/A</v>
      </c>
      <c r="Y87" s="1" t="e">
        <f>IF(OR(Table1[[#This Row],[Type (TX, RX, TRX, Oscillator)]]="TRX", Table1[[#This Row],[Type (TX, RX, TRX, Oscillator)]]="TRX FE"),Table1[[#This Row],[Total Number of Elements (TX + RX)]],#N/A)</f>
        <v>#N/A</v>
      </c>
      <c r="Z87" s="1" t="e">
        <f t="shared" si="49"/>
        <v>#N/A</v>
      </c>
      <c r="AA87" s="1" t="e">
        <f t="shared" si="50"/>
        <v>#N/A</v>
      </c>
      <c r="AB87" s="1" t="e">
        <f t="shared" si="51"/>
        <v>#N/A</v>
      </c>
      <c r="AC87" s="1" t="e">
        <f t="shared" si="52"/>
        <v>#N/A</v>
      </c>
      <c r="AD87" s="1" t="e">
        <f t="shared" si="53"/>
        <v>#N/A</v>
      </c>
      <c r="AE87" s="1" t="e">
        <f t="shared" si="54"/>
        <v>#N/A</v>
      </c>
      <c r="AF87" s="1" t="e">
        <f t="shared" si="55"/>
        <v>#N/A</v>
      </c>
      <c r="AH87" s="1" t="e">
        <f>IF(Table1[[#This Row],[Type (TX, RX, TRX, Oscillator)]]="Oscillator",Table1[[#This Row],[Frequency (GHz)]],#N/A)</f>
        <v>#N/A</v>
      </c>
      <c r="AI87" s="30" t="e">
        <f>IF(Table1[[#This Row],[Type (TX, RX, TRX, Oscillator)]]="Oscillator",DATE(Table1[[#This Row],[Year ]],Table1[[#This Row],[Month]],1),#N/A)</f>
        <v>#N/A</v>
      </c>
      <c r="AJ87" s="1" t="e">
        <f>IF(Table1[[#This Row],[Type (TX, RX, TRX, Oscillator)]]="Oscillator",Table1[[#This Row],[Total Number of Elements (TX + RX)]],#N/A)</f>
        <v>#N/A</v>
      </c>
      <c r="AK87" s="1" t="e">
        <f t="shared" si="56"/>
        <v>#N/A</v>
      </c>
      <c r="AL87" s="1" t="e">
        <f t="shared" si="57"/>
        <v>#N/A</v>
      </c>
      <c r="AM87" s="1" t="e">
        <f t="shared" si="58"/>
        <v>#N/A</v>
      </c>
      <c r="AN87" s="1" t="e">
        <f t="shared" si="59"/>
        <v>#N/A</v>
      </c>
      <c r="AO87" s="1" t="e">
        <f t="shared" si="60"/>
        <v>#N/A</v>
      </c>
      <c r="AP87" s="1" t="e">
        <f t="shared" si="61"/>
        <v>#N/A</v>
      </c>
      <c r="AQ87" s="1" t="e">
        <f t="shared" si="62"/>
        <v>#N/A</v>
      </c>
      <c r="AS87" s="1" t="e">
        <f>IF(Table1[[#This Row],[Type (TX, RX, TRX, Oscillator)]]="Relay",Table1[[#This Row],[Frequency (GHz)]],#N/A)</f>
        <v>#N/A</v>
      </c>
      <c r="AT87" s="30" t="e">
        <f>IF(Table1[[#This Row],[Type (TX, RX, TRX, Oscillator)]]="Relay",DATE(Table1[[#This Row],[Year ]],Table1[[#This Row],[Month]],1),#N/A)</f>
        <v>#N/A</v>
      </c>
      <c r="AU87" s="1" t="e">
        <f>IF(Table1[[#This Row],[Type (TX, RX, TRX, Oscillator)]]="Relay",Table1[[#This Row],[Total Number of Elements (TX + RX)]],#N/A)</f>
        <v>#N/A</v>
      </c>
      <c r="AV87" s="1" t="e">
        <f t="shared" si="63"/>
        <v>#N/A</v>
      </c>
      <c r="AW87" s="1" t="e">
        <f t="shared" si="64"/>
        <v>#N/A</v>
      </c>
      <c r="AX87" s="1" t="e">
        <f t="shared" si="65"/>
        <v>#N/A</v>
      </c>
      <c r="AY87" s="1" t="e">
        <f t="shared" si="66"/>
        <v>#N/A</v>
      </c>
      <c r="AZ87" s="1" t="e">
        <f t="shared" si="67"/>
        <v>#N/A</v>
      </c>
      <c r="BA87" s="1" t="e">
        <f t="shared" si="68"/>
        <v>#N/A</v>
      </c>
      <c r="BB87" s="1" t="e">
        <f t="shared" si="69"/>
        <v>#N/A</v>
      </c>
    </row>
    <row r="88" spans="1:54" x14ac:dyDescent="0.2">
      <c r="A88" s="1" t="e">
        <f>IF(OR(Table1[[#This Row],[Type (TX, RX, TRX, Oscillator)]]="TX", Table1[[#This Row],[Type (TX, RX, TRX, Oscillator)]]="TX FE"),Table1[[#This Row],[Frequency (GHz)]],#N/A)</f>
        <v>#N/A</v>
      </c>
      <c r="B88" s="30" t="e">
        <f>IF(OR(Table1[[#This Row],[Type (TX, RX, TRX, Oscillator)]]="TX", Table1[[#This Row],[Type (TX, RX, TRX, Oscillator)]]="TX FE"),DATE(Table1[[#This Row],[Year ]],Table1[[#This Row],[Month]],1),#N/A)</f>
        <v>#N/A</v>
      </c>
      <c r="C88" s="1" t="e">
        <f>IF(OR(Table1[[#This Row],[Type (TX, RX, TRX, Oscillator)]]="TX",Table1[[#This Row],[Type (TX, RX, TRX, Oscillator)]]="TX FE"),Table1[[#This Row],[Total Number of Elements (TX + RX)]],#N/A)</f>
        <v>#N/A</v>
      </c>
      <c r="D88" s="1" t="e">
        <f t="shared" si="35"/>
        <v>#N/A</v>
      </c>
      <c r="E88" s="1" t="e">
        <f t="shared" si="36"/>
        <v>#N/A</v>
      </c>
      <c r="F88" s="1" t="e">
        <f t="shared" si="37"/>
        <v>#N/A</v>
      </c>
      <c r="G88" s="1" t="e">
        <f t="shared" si="38"/>
        <v>#N/A</v>
      </c>
      <c r="H88" s="1" t="e">
        <f t="shared" si="39"/>
        <v>#N/A</v>
      </c>
      <c r="I88" s="1" t="e">
        <f t="shared" si="40"/>
        <v>#N/A</v>
      </c>
      <c r="J88" s="1" t="e">
        <f t="shared" si="41"/>
        <v>#N/A</v>
      </c>
      <c r="L88" s="1">
        <f>IF(OR(Table1[[#This Row],[Type (TX, RX, TRX, Oscillator)]]="RX", Table1[[#This Row],[Type (TX, RX, TRX, Oscillator)]]="RX FE"),Table1[[#This Row],[Frequency (GHz)]],#N/A)</f>
        <v>57</v>
      </c>
      <c r="M88" s="30">
        <f>IF(OR(Table1[[#This Row],[Type (TX, RX, TRX, Oscillator)]]="RX", Table1[[#This Row],[Type (TX, RX, TRX, Oscillator)]]="RX FE"),DATE(Table1[[#This Row],[Year ]],Table1[[#This Row],[Month]],1),#N/A)</f>
        <v>44562</v>
      </c>
      <c r="N88" s="1">
        <f>IF(OR(Table1[[#This Row],[Type (TX, RX, TRX, Oscillator)]]="RX", Table1[[#This Row],[Type (TX, RX, TRX, Oscillator)]]="RX FE"),Table1[[#This Row],[Total Number of Elements (TX + RX)]],#N/A)</f>
        <v>8</v>
      </c>
      <c r="O88" s="1" t="e">
        <f t="shared" si="42"/>
        <v>#N/A</v>
      </c>
      <c r="P88" s="1" t="e">
        <f t="shared" si="43"/>
        <v>#N/A</v>
      </c>
      <c r="Q88" s="1">
        <f t="shared" si="44"/>
        <v>8</v>
      </c>
      <c r="R88" s="1" t="e">
        <f t="shared" si="45"/>
        <v>#N/A</v>
      </c>
      <c r="S88" s="1" t="e">
        <f t="shared" si="46"/>
        <v>#N/A</v>
      </c>
      <c r="T88" s="1" t="e">
        <f t="shared" si="47"/>
        <v>#N/A</v>
      </c>
      <c r="U88" s="1" t="e">
        <f t="shared" si="48"/>
        <v>#N/A</v>
      </c>
      <c r="W88" s="1" t="e">
        <f>IF(OR(Table1[[#This Row],[Type (TX, RX, TRX, Oscillator)]]="TRX",Table1[[#This Row],[Type (TX, RX, TRX, Oscillator)]]="TRX FE"),Table1[[#This Row],[Frequency (GHz)]],#N/A)</f>
        <v>#N/A</v>
      </c>
      <c r="X88" s="30" t="e">
        <f>IF(OR(Table1[[#This Row],[Type (TX, RX, TRX, Oscillator)]]="TRX", Table1[[#This Row],[Type (TX, RX, TRX, Oscillator)]]="TRX FE"),DATE(Table1[[#This Row],[Year ]],Table1[[#This Row],[Month]],1),#N/A)</f>
        <v>#N/A</v>
      </c>
      <c r="Y88" s="1" t="e">
        <f>IF(OR(Table1[[#This Row],[Type (TX, RX, TRX, Oscillator)]]="TRX", Table1[[#This Row],[Type (TX, RX, TRX, Oscillator)]]="TRX FE"),Table1[[#This Row],[Total Number of Elements (TX + RX)]],#N/A)</f>
        <v>#N/A</v>
      </c>
      <c r="Z88" s="1" t="e">
        <f t="shared" si="49"/>
        <v>#N/A</v>
      </c>
      <c r="AA88" s="1" t="e">
        <f t="shared" si="50"/>
        <v>#N/A</v>
      </c>
      <c r="AB88" s="1" t="e">
        <f t="shared" si="51"/>
        <v>#N/A</v>
      </c>
      <c r="AC88" s="1" t="e">
        <f t="shared" si="52"/>
        <v>#N/A</v>
      </c>
      <c r="AD88" s="1" t="e">
        <f t="shared" si="53"/>
        <v>#N/A</v>
      </c>
      <c r="AE88" s="1" t="e">
        <f t="shared" si="54"/>
        <v>#N/A</v>
      </c>
      <c r="AF88" s="1" t="e">
        <f t="shared" si="55"/>
        <v>#N/A</v>
      </c>
      <c r="AH88" s="1" t="e">
        <f>IF(Table1[[#This Row],[Type (TX, RX, TRX, Oscillator)]]="Oscillator",Table1[[#This Row],[Frequency (GHz)]],#N/A)</f>
        <v>#N/A</v>
      </c>
      <c r="AI88" s="30" t="e">
        <f>IF(Table1[[#This Row],[Type (TX, RX, TRX, Oscillator)]]="Oscillator",DATE(Table1[[#This Row],[Year ]],Table1[[#This Row],[Month]],1),#N/A)</f>
        <v>#N/A</v>
      </c>
      <c r="AJ88" s="1" t="e">
        <f>IF(Table1[[#This Row],[Type (TX, RX, TRX, Oscillator)]]="Oscillator",Table1[[#This Row],[Total Number of Elements (TX + RX)]],#N/A)</f>
        <v>#N/A</v>
      </c>
      <c r="AK88" s="1" t="e">
        <f t="shared" si="56"/>
        <v>#N/A</v>
      </c>
      <c r="AL88" s="1" t="e">
        <f t="shared" si="57"/>
        <v>#N/A</v>
      </c>
      <c r="AM88" s="1" t="e">
        <f t="shared" si="58"/>
        <v>#N/A</v>
      </c>
      <c r="AN88" s="1" t="e">
        <f t="shared" si="59"/>
        <v>#N/A</v>
      </c>
      <c r="AO88" s="1" t="e">
        <f t="shared" si="60"/>
        <v>#N/A</v>
      </c>
      <c r="AP88" s="1" t="e">
        <f t="shared" si="61"/>
        <v>#N/A</v>
      </c>
      <c r="AQ88" s="1" t="e">
        <f t="shared" si="62"/>
        <v>#N/A</v>
      </c>
      <c r="AS88" s="1" t="e">
        <f>IF(Table1[[#This Row],[Type (TX, RX, TRX, Oscillator)]]="Relay",Table1[[#This Row],[Frequency (GHz)]],#N/A)</f>
        <v>#N/A</v>
      </c>
      <c r="AT88" s="30" t="e">
        <f>IF(Table1[[#This Row],[Type (TX, RX, TRX, Oscillator)]]="Relay",DATE(Table1[[#This Row],[Year ]],Table1[[#This Row],[Month]],1),#N/A)</f>
        <v>#N/A</v>
      </c>
      <c r="AU88" s="1" t="e">
        <f>IF(Table1[[#This Row],[Type (TX, RX, TRX, Oscillator)]]="Relay",Table1[[#This Row],[Total Number of Elements (TX + RX)]],#N/A)</f>
        <v>#N/A</v>
      </c>
      <c r="AV88" s="1" t="e">
        <f t="shared" si="63"/>
        <v>#N/A</v>
      </c>
      <c r="AW88" s="1" t="e">
        <f t="shared" si="64"/>
        <v>#N/A</v>
      </c>
      <c r="AX88" s="1" t="e">
        <f t="shared" si="65"/>
        <v>#N/A</v>
      </c>
      <c r="AY88" s="1" t="e">
        <f t="shared" si="66"/>
        <v>#N/A</v>
      </c>
      <c r="AZ88" s="1" t="e">
        <f t="shared" si="67"/>
        <v>#N/A</v>
      </c>
      <c r="BA88" s="1" t="e">
        <f t="shared" si="68"/>
        <v>#N/A</v>
      </c>
      <c r="BB88" s="1" t="e">
        <f t="shared" si="69"/>
        <v>#N/A</v>
      </c>
    </row>
    <row r="89" spans="1:54" x14ac:dyDescent="0.2">
      <c r="A89" s="1">
        <f>IF(OR(Table1[[#This Row],[Type (TX, RX, TRX, Oscillator)]]="TX", Table1[[#This Row],[Type (TX, RX, TRX, Oscillator)]]="TX FE"),Table1[[#This Row],[Frequency (GHz)]],#N/A)</f>
        <v>28</v>
      </c>
      <c r="B89" s="30">
        <f>IF(OR(Table1[[#This Row],[Type (TX, RX, TRX, Oscillator)]]="TX", Table1[[#This Row],[Type (TX, RX, TRX, Oscillator)]]="TX FE"),DATE(Table1[[#This Row],[Year ]],Table1[[#This Row],[Month]],1),#N/A)</f>
        <v>44562</v>
      </c>
      <c r="C89" s="1">
        <f>IF(OR(Table1[[#This Row],[Type (TX, RX, TRX, Oscillator)]]="TX",Table1[[#This Row],[Type (TX, RX, TRX, Oscillator)]]="TX FE"),Table1[[#This Row],[Total Number of Elements (TX + RX)]],#N/A)</f>
        <v>8</v>
      </c>
      <c r="D89" s="1" t="e">
        <f t="shared" si="35"/>
        <v>#N/A</v>
      </c>
      <c r="E89" s="1">
        <f t="shared" si="36"/>
        <v>8</v>
      </c>
      <c r="F89" s="1" t="e">
        <f t="shared" si="37"/>
        <v>#N/A</v>
      </c>
      <c r="G89" s="1" t="e">
        <f t="shared" si="38"/>
        <v>#N/A</v>
      </c>
      <c r="H89" s="1" t="e">
        <f t="shared" si="39"/>
        <v>#N/A</v>
      </c>
      <c r="I89" s="1" t="e">
        <f t="shared" si="40"/>
        <v>#N/A</v>
      </c>
      <c r="J89" s="1" t="e">
        <f t="shared" si="41"/>
        <v>#N/A</v>
      </c>
      <c r="L89" s="1" t="e">
        <f>IF(OR(Table1[[#This Row],[Type (TX, RX, TRX, Oscillator)]]="RX", Table1[[#This Row],[Type (TX, RX, TRX, Oscillator)]]="RX FE"),Table1[[#This Row],[Frequency (GHz)]],#N/A)</f>
        <v>#N/A</v>
      </c>
      <c r="M89" s="30" t="e">
        <f>IF(OR(Table1[[#This Row],[Type (TX, RX, TRX, Oscillator)]]="RX", Table1[[#This Row],[Type (TX, RX, TRX, Oscillator)]]="RX FE"),DATE(Table1[[#This Row],[Year ]],Table1[[#This Row],[Month]],1),#N/A)</f>
        <v>#N/A</v>
      </c>
      <c r="N89" s="1" t="e">
        <f>IF(OR(Table1[[#This Row],[Type (TX, RX, TRX, Oscillator)]]="RX", Table1[[#This Row],[Type (TX, RX, TRX, Oscillator)]]="RX FE"),Table1[[#This Row],[Total Number of Elements (TX + RX)]],#N/A)</f>
        <v>#N/A</v>
      </c>
      <c r="O89" s="1" t="e">
        <f t="shared" si="42"/>
        <v>#N/A</v>
      </c>
      <c r="P89" s="1" t="e">
        <f t="shared" si="43"/>
        <v>#N/A</v>
      </c>
      <c r="Q89" s="1" t="e">
        <f t="shared" si="44"/>
        <v>#N/A</v>
      </c>
      <c r="R89" s="1" t="e">
        <f t="shared" si="45"/>
        <v>#N/A</v>
      </c>
      <c r="S89" s="1" t="e">
        <f t="shared" si="46"/>
        <v>#N/A</v>
      </c>
      <c r="T89" s="1" t="e">
        <f t="shared" si="47"/>
        <v>#N/A</v>
      </c>
      <c r="U89" s="1" t="e">
        <f t="shared" si="48"/>
        <v>#N/A</v>
      </c>
      <c r="W89" s="1" t="e">
        <f>IF(OR(Table1[[#This Row],[Type (TX, RX, TRX, Oscillator)]]="TRX",Table1[[#This Row],[Type (TX, RX, TRX, Oscillator)]]="TRX FE"),Table1[[#This Row],[Frequency (GHz)]],#N/A)</f>
        <v>#N/A</v>
      </c>
      <c r="X89" s="30" t="e">
        <f>IF(OR(Table1[[#This Row],[Type (TX, RX, TRX, Oscillator)]]="TRX", Table1[[#This Row],[Type (TX, RX, TRX, Oscillator)]]="TRX FE"),DATE(Table1[[#This Row],[Year ]],Table1[[#This Row],[Month]],1),#N/A)</f>
        <v>#N/A</v>
      </c>
      <c r="Y89" s="1" t="e">
        <f>IF(OR(Table1[[#This Row],[Type (TX, RX, TRX, Oscillator)]]="TRX", Table1[[#This Row],[Type (TX, RX, TRX, Oscillator)]]="TRX FE"),Table1[[#This Row],[Total Number of Elements (TX + RX)]],#N/A)</f>
        <v>#N/A</v>
      </c>
      <c r="Z89" s="1" t="e">
        <f t="shared" si="49"/>
        <v>#N/A</v>
      </c>
      <c r="AA89" s="1" t="e">
        <f t="shared" si="50"/>
        <v>#N/A</v>
      </c>
      <c r="AB89" s="1" t="e">
        <f t="shared" si="51"/>
        <v>#N/A</v>
      </c>
      <c r="AC89" s="1" t="e">
        <f t="shared" si="52"/>
        <v>#N/A</v>
      </c>
      <c r="AD89" s="1" t="e">
        <f t="shared" si="53"/>
        <v>#N/A</v>
      </c>
      <c r="AE89" s="1" t="e">
        <f t="shared" si="54"/>
        <v>#N/A</v>
      </c>
      <c r="AF89" s="1" t="e">
        <f t="shared" si="55"/>
        <v>#N/A</v>
      </c>
      <c r="AH89" s="1" t="e">
        <f>IF(Table1[[#This Row],[Type (TX, RX, TRX, Oscillator)]]="Oscillator",Table1[[#This Row],[Frequency (GHz)]],#N/A)</f>
        <v>#N/A</v>
      </c>
      <c r="AI89" s="30" t="e">
        <f>IF(Table1[[#This Row],[Type (TX, RX, TRX, Oscillator)]]="Oscillator",DATE(Table1[[#This Row],[Year ]],Table1[[#This Row],[Month]],1),#N/A)</f>
        <v>#N/A</v>
      </c>
      <c r="AJ89" s="1" t="e">
        <f>IF(Table1[[#This Row],[Type (TX, RX, TRX, Oscillator)]]="Oscillator",Table1[[#This Row],[Total Number of Elements (TX + RX)]],#N/A)</f>
        <v>#N/A</v>
      </c>
      <c r="AK89" s="1" t="e">
        <f t="shared" si="56"/>
        <v>#N/A</v>
      </c>
      <c r="AL89" s="1" t="e">
        <f t="shared" si="57"/>
        <v>#N/A</v>
      </c>
      <c r="AM89" s="1" t="e">
        <f t="shared" si="58"/>
        <v>#N/A</v>
      </c>
      <c r="AN89" s="1" t="e">
        <f t="shared" si="59"/>
        <v>#N/A</v>
      </c>
      <c r="AO89" s="1" t="e">
        <f t="shared" si="60"/>
        <v>#N/A</v>
      </c>
      <c r="AP89" s="1" t="e">
        <f t="shared" si="61"/>
        <v>#N/A</v>
      </c>
      <c r="AQ89" s="1" t="e">
        <f t="shared" si="62"/>
        <v>#N/A</v>
      </c>
      <c r="AS89" s="1" t="e">
        <f>IF(Table1[[#This Row],[Type (TX, RX, TRX, Oscillator)]]="Relay",Table1[[#This Row],[Frequency (GHz)]],#N/A)</f>
        <v>#N/A</v>
      </c>
      <c r="AT89" s="30" t="e">
        <f>IF(Table1[[#This Row],[Type (TX, RX, TRX, Oscillator)]]="Relay",DATE(Table1[[#This Row],[Year ]],Table1[[#This Row],[Month]],1),#N/A)</f>
        <v>#N/A</v>
      </c>
      <c r="AU89" s="1" t="e">
        <f>IF(Table1[[#This Row],[Type (TX, RX, TRX, Oscillator)]]="Relay",Table1[[#This Row],[Total Number of Elements (TX + RX)]],#N/A)</f>
        <v>#N/A</v>
      </c>
      <c r="AV89" s="1" t="e">
        <f t="shared" si="63"/>
        <v>#N/A</v>
      </c>
      <c r="AW89" s="1" t="e">
        <f t="shared" si="64"/>
        <v>#N/A</v>
      </c>
      <c r="AX89" s="1" t="e">
        <f t="shared" si="65"/>
        <v>#N/A</v>
      </c>
      <c r="AY89" s="1" t="e">
        <f t="shared" si="66"/>
        <v>#N/A</v>
      </c>
      <c r="AZ89" s="1" t="e">
        <f t="shared" si="67"/>
        <v>#N/A</v>
      </c>
      <c r="BA89" s="1" t="e">
        <f t="shared" si="68"/>
        <v>#N/A</v>
      </c>
      <c r="BB89" s="1" t="e">
        <f t="shared" si="69"/>
        <v>#N/A</v>
      </c>
    </row>
    <row r="90" spans="1:54" x14ac:dyDescent="0.2">
      <c r="A90" s="1" t="e">
        <f>IF(OR(Table1[[#This Row],[Type (TX, RX, TRX, Oscillator)]]="TX", Table1[[#This Row],[Type (TX, RX, TRX, Oscillator)]]="TX FE"),Table1[[#This Row],[Frequency (GHz)]],#N/A)</f>
        <v>#N/A</v>
      </c>
      <c r="B90" s="30" t="e">
        <f>IF(OR(Table1[[#This Row],[Type (TX, RX, TRX, Oscillator)]]="TX", Table1[[#This Row],[Type (TX, RX, TRX, Oscillator)]]="TX FE"),DATE(Table1[[#This Row],[Year ]],Table1[[#This Row],[Month]],1),#N/A)</f>
        <v>#N/A</v>
      </c>
      <c r="C90" s="1" t="e">
        <f>IF(OR(Table1[[#This Row],[Type (TX, RX, TRX, Oscillator)]]="TX",Table1[[#This Row],[Type (TX, RX, TRX, Oscillator)]]="TX FE"),Table1[[#This Row],[Total Number of Elements (TX + RX)]],#N/A)</f>
        <v>#N/A</v>
      </c>
      <c r="D90" s="1" t="e">
        <f t="shared" si="35"/>
        <v>#N/A</v>
      </c>
      <c r="E90" s="1" t="e">
        <f t="shared" si="36"/>
        <v>#N/A</v>
      </c>
      <c r="F90" s="1" t="e">
        <f t="shared" si="37"/>
        <v>#N/A</v>
      </c>
      <c r="G90" s="1" t="e">
        <f t="shared" si="38"/>
        <v>#N/A</v>
      </c>
      <c r="H90" s="1" t="e">
        <f t="shared" si="39"/>
        <v>#N/A</v>
      </c>
      <c r="I90" s="1" t="e">
        <f t="shared" si="40"/>
        <v>#N/A</v>
      </c>
      <c r="J90" s="1" t="e">
        <f t="shared" si="41"/>
        <v>#N/A</v>
      </c>
      <c r="L90" s="1" t="e">
        <f>IF(OR(Table1[[#This Row],[Type (TX, RX, TRX, Oscillator)]]="RX", Table1[[#This Row],[Type (TX, RX, TRX, Oscillator)]]="RX FE"),Table1[[#This Row],[Frequency (GHz)]],#N/A)</f>
        <v>#N/A</v>
      </c>
      <c r="M90" s="30" t="e">
        <f>IF(OR(Table1[[#This Row],[Type (TX, RX, TRX, Oscillator)]]="RX", Table1[[#This Row],[Type (TX, RX, TRX, Oscillator)]]="RX FE"),DATE(Table1[[#This Row],[Year ]],Table1[[#This Row],[Month]],1),#N/A)</f>
        <v>#N/A</v>
      </c>
      <c r="N90" s="1" t="e">
        <f>IF(OR(Table1[[#This Row],[Type (TX, RX, TRX, Oscillator)]]="RX", Table1[[#This Row],[Type (TX, RX, TRX, Oscillator)]]="RX FE"),Table1[[#This Row],[Total Number of Elements (TX + RX)]],#N/A)</f>
        <v>#N/A</v>
      </c>
      <c r="O90" s="1" t="e">
        <f t="shared" si="42"/>
        <v>#N/A</v>
      </c>
      <c r="P90" s="1" t="e">
        <f t="shared" si="43"/>
        <v>#N/A</v>
      </c>
      <c r="Q90" s="1" t="e">
        <f t="shared" si="44"/>
        <v>#N/A</v>
      </c>
      <c r="R90" s="1" t="e">
        <f t="shared" si="45"/>
        <v>#N/A</v>
      </c>
      <c r="S90" s="1" t="e">
        <f t="shared" si="46"/>
        <v>#N/A</v>
      </c>
      <c r="T90" s="1" t="e">
        <f t="shared" si="47"/>
        <v>#N/A</v>
      </c>
      <c r="U90" s="1" t="e">
        <f t="shared" si="48"/>
        <v>#N/A</v>
      </c>
      <c r="W90" s="1">
        <f>IF(OR(Table1[[#This Row],[Type (TX, RX, TRX, Oscillator)]]="TRX",Table1[[#This Row],[Type (TX, RX, TRX, Oscillator)]]="TRX FE"),Table1[[#This Row],[Frequency (GHz)]],#N/A)</f>
        <v>140</v>
      </c>
      <c r="X90" s="30">
        <f>IF(OR(Table1[[#This Row],[Type (TX, RX, TRX, Oscillator)]]="TRX", Table1[[#This Row],[Type (TX, RX, TRX, Oscillator)]]="TRX FE"),DATE(Table1[[#This Row],[Year ]],Table1[[#This Row],[Month]],1),#N/A)</f>
        <v>44593</v>
      </c>
      <c r="Y90" s="1">
        <f>IF(OR(Table1[[#This Row],[Type (TX, RX, TRX, Oscillator)]]="TRX", Table1[[#This Row],[Type (TX, RX, TRX, Oscillator)]]="TRX FE"),Table1[[#This Row],[Total Number of Elements (TX + RX)]],#N/A)</f>
        <v>2</v>
      </c>
      <c r="Z90" s="1" t="e">
        <f t="shared" si="49"/>
        <v>#N/A</v>
      </c>
      <c r="AA90" s="1" t="e">
        <f t="shared" si="50"/>
        <v>#N/A</v>
      </c>
      <c r="AB90" s="1" t="e">
        <f t="shared" si="51"/>
        <v>#N/A</v>
      </c>
      <c r="AC90" s="1" t="e">
        <f t="shared" si="52"/>
        <v>#N/A</v>
      </c>
      <c r="AD90" s="1">
        <f t="shared" si="53"/>
        <v>2</v>
      </c>
      <c r="AE90" s="1" t="e">
        <f t="shared" si="54"/>
        <v>#N/A</v>
      </c>
      <c r="AF90" s="1" t="e">
        <f t="shared" si="55"/>
        <v>#N/A</v>
      </c>
      <c r="AH90" s="1" t="e">
        <f>IF(Table1[[#This Row],[Type (TX, RX, TRX, Oscillator)]]="Oscillator",Table1[[#This Row],[Frequency (GHz)]],#N/A)</f>
        <v>#N/A</v>
      </c>
      <c r="AI90" s="30" t="e">
        <f>IF(Table1[[#This Row],[Type (TX, RX, TRX, Oscillator)]]="Oscillator",DATE(Table1[[#This Row],[Year ]],Table1[[#This Row],[Month]],1),#N/A)</f>
        <v>#N/A</v>
      </c>
      <c r="AJ90" s="1" t="e">
        <f>IF(Table1[[#This Row],[Type (TX, RX, TRX, Oscillator)]]="Oscillator",Table1[[#This Row],[Total Number of Elements (TX + RX)]],#N/A)</f>
        <v>#N/A</v>
      </c>
      <c r="AK90" s="1" t="e">
        <f t="shared" si="56"/>
        <v>#N/A</v>
      </c>
      <c r="AL90" s="1" t="e">
        <f t="shared" si="57"/>
        <v>#N/A</v>
      </c>
      <c r="AM90" s="1" t="e">
        <f t="shared" si="58"/>
        <v>#N/A</v>
      </c>
      <c r="AN90" s="1" t="e">
        <f t="shared" si="59"/>
        <v>#N/A</v>
      </c>
      <c r="AO90" s="1" t="e">
        <f t="shared" si="60"/>
        <v>#N/A</v>
      </c>
      <c r="AP90" s="1" t="e">
        <f t="shared" si="61"/>
        <v>#N/A</v>
      </c>
      <c r="AQ90" s="1" t="e">
        <f t="shared" si="62"/>
        <v>#N/A</v>
      </c>
      <c r="AS90" s="1" t="e">
        <f>IF(Table1[[#This Row],[Type (TX, RX, TRX, Oscillator)]]="Relay",Table1[[#This Row],[Frequency (GHz)]],#N/A)</f>
        <v>#N/A</v>
      </c>
      <c r="AT90" s="30" t="e">
        <f>IF(Table1[[#This Row],[Type (TX, RX, TRX, Oscillator)]]="Relay",DATE(Table1[[#This Row],[Year ]],Table1[[#This Row],[Month]],1),#N/A)</f>
        <v>#N/A</v>
      </c>
      <c r="AU90" s="1" t="e">
        <f>IF(Table1[[#This Row],[Type (TX, RX, TRX, Oscillator)]]="Relay",Table1[[#This Row],[Total Number of Elements (TX + RX)]],#N/A)</f>
        <v>#N/A</v>
      </c>
      <c r="AV90" s="1" t="e">
        <f t="shared" si="63"/>
        <v>#N/A</v>
      </c>
      <c r="AW90" s="1" t="e">
        <f t="shared" si="64"/>
        <v>#N/A</v>
      </c>
      <c r="AX90" s="1" t="e">
        <f t="shared" si="65"/>
        <v>#N/A</v>
      </c>
      <c r="AY90" s="1" t="e">
        <f t="shared" si="66"/>
        <v>#N/A</v>
      </c>
      <c r="AZ90" s="1" t="e">
        <f t="shared" si="67"/>
        <v>#N/A</v>
      </c>
      <c r="BA90" s="1" t="e">
        <f t="shared" si="68"/>
        <v>#N/A</v>
      </c>
      <c r="BB90" s="1" t="e">
        <f t="shared" si="69"/>
        <v>#N/A</v>
      </c>
    </row>
    <row r="91" spans="1:54" x14ac:dyDescent="0.2">
      <c r="A91" s="1" t="e">
        <f>IF(OR(Table1[[#This Row],[Type (TX, RX, TRX, Oscillator)]]="TX", Table1[[#This Row],[Type (TX, RX, TRX, Oscillator)]]="TX FE"),Table1[[#This Row],[Frequency (GHz)]],#N/A)</f>
        <v>#N/A</v>
      </c>
      <c r="B91" s="30" t="e">
        <f>IF(OR(Table1[[#This Row],[Type (TX, RX, TRX, Oscillator)]]="TX", Table1[[#This Row],[Type (TX, RX, TRX, Oscillator)]]="TX FE"),DATE(Table1[[#This Row],[Year ]],Table1[[#This Row],[Month]],1),#N/A)</f>
        <v>#N/A</v>
      </c>
      <c r="C91" s="1" t="e">
        <f>IF(OR(Table1[[#This Row],[Type (TX, RX, TRX, Oscillator)]]="TX",Table1[[#This Row],[Type (TX, RX, TRX, Oscillator)]]="TX FE"),Table1[[#This Row],[Total Number of Elements (TX + RX)]],#N/A)</f>
        <v>#N/A</v>
      </c>
      <c r="D91" s="1" t="e">
        <f t="shared" si="35"/>
        <v>#N/A</v>
      </c>
      <c r="E91" s="1" t="e">
        <f t="shared" si="36"/>
        <v>#N/A</v>
      </c>
      <c r="F91" s="1" t="e">
        <f t="shared" si="37"/>
        <v>#N/A</v>
      </c>
      <c r="G91" s="1" t="e">
        <f t="shared" si="38"/>
        <v>#N/A</v>
      </c>
      <c r="H91" s="1" t="e">
        <f t="shared" si="39"/>
        <v>#N/A</v>
      </c>
      <c r="I91" s="1" t="e">
        <f t="shared" si="40"/>
        <v>#N/A</v>
      </c>
      <c r="J91" s="1" t="e">
        <f t="shared" si="41"/>
        <v>#N/A</v>
      </c>
      <c r="L91" s="1" t="e">
        <f>IF(OR(Table1[[#This Row],[Type (TX, RX, TRX, Oscillator)]]="RX", Table1[[#This Row],[Type (TX, RX, TRX, Oscillator)]]="RX FE"),Table1[[#This Row],[Frequency (GHz)]],#N/A)</f>
        <v>#N/A</v>
      </c>
      <c r="M91" s="30" t="e">
        <f>IF(OR(Table1[[#This Row],[Type (TX, RX, TRX, Oscillator)]]="RX", Table1[[#This Row],[Type (TX, RX, TRX, Oscillator)]]="RX FE"),DATE(Table1[[#This Row],[Year ]],Table1[[#This Row],[Month]],1),#N/A)</f>
        <v>#N/A</v>
      </c>
      <c r="N91" s="1" t="e">
        <f>IF(OR(Table1[[#This Row],[Type (TX, RX, TRX, Oscillator)]]="RX", Table1[[#This Row],[Type (TX, RX, TRX, Oscillator)]]="RX FE"),Table1[[#This Row],[Total Number of Elements (TX + RX)]],#N/A)</f>
        <v>#N/A</v>
      </c>
      <c r="O91" s="1" t="e">
        <f t="shared" si="42"/>
        <v>#N/A</v>
      </c>
      <c r="P91" s="1" t="e">
        <f t="shared" si="43"/>
        <v>#N/A</v>
      </c>
      <c r="Q91" s="1" t="e">
        <f t="shared" si="44"/>
        <v>#N/A</v>
      </c>
      <c r="R91" s="1" t="e">
        <f t="shared" si="45"/>
        <v>#N/A</v>
      </c>
      <c r="S91" s="1" t="e">
        <f t="shared" si="46"/>
        <v>#N/A</v>
      </c>
      <c r="T91" s="1" t="e">
        <f t="shared" si="47"/>
        <v>#N/A</v>
      </c>
      <c r="U91" s="1" t="e">
        <f t="shared" si="48"/>
        <v>#N/A</v>
      </c>
      <c r="W91" s="1">
        <f>IF(OR(Table1[[#This Row],[Type (TX, RX, TRX, Oscillator)]]="TRX",Table1[[#This Row],[Type (TX, RX, TRX, Oscillator)]]="TRX FE"),Table1[[#This Row],[Frequency (GHz)]],#N/A)</f>
        <v>28</v>
      </c>
      <c r="X91" s="30">
        <f>IF(OR(Table1[[#This Row],[Type (TX, RX, TRX, Oscillator)]]="TRX", Table1[[#This Row],[Type (TX, RX, TRX, Oscillator)]]="TRX FE"),DATE(Table1[[#This Row],[Year ]],Table1[[#This Row],[Month]],1),#N/A)</f>
        <v>44593</v>
      </c>
      <c r="Y91" s="1">
        <f>IF(OR(Table1[[#This Row],[Type (TX, RX, TRX, Oscillator)]]="TRX", Table1[[#This Row],[Type (TX, RX, TRX, Oscillator)]]="TRX FE"),Table1[[#This Row],[Total Number of Elements (TX + RX)]],#N/A)</f>
        <v>32</v>
      </c>
      <c r="Z91" s="1" t="e">
        <f t="shared" si="49"/>
        <v>#N/A</v>
      </c>
      <c r="AA91" s="1">
        <f t="shared" si="50"/>
        <v>32</v>
      </c>
      <c r="AB91" s="1" t="e">
        <f t="shared" si="51"/>
        <v>#N/A</v>
      </c>
      <c r="AC91" s="1" t="e">
        <f t="shared" si="52"/>
        <v>#N/A</v>
      </c>
      <c r="AD91" s="1" t="e">
        <f t="shared" si="53"/>
        <v>#N/A</v>
      </c>
      <c r="AE91" s="1" t="e">
        <f t="shared" si="54"/>
        <v>#N/A</v>
      </c>
      <c r="AF91" s="1" t="e">
        <f t="shared" si="55"/>
        <v>#N/A</v>
      </c>
      <c r="AH91" s="1" t="e">
        <f>IF(Table1[[#This Row],[Type (TX, RX, TRX, Oscillator)]]="Oscillator",Table1[[#This Row],[Frequency (GHz)]],#N/A)</f>
        <v>#N/A</v>
      </c>
      <c r="AI91" s="30" t="e">
        <f>IF(Table1[[#This Row],[Type (TX, RX, TRX, Oscillator)]]="Oscillator",DATE(Table1[[#This Row],[Year ]],Table1[[#This Row],[Month]],1),#N/A)</f>
        <v>#N/A</v>
      </c>
      <c r="AJ91" s="1" t="e">
        <f>IF(Table1[[#This Row],[Type (TX, RX, TRX, Oscillator)]]="Oscillator",Table1[[#This Row],[Total Number of Elements (TX + RX)]],#N/A)</f>
        <v>#N/A</v>
      </c>
      <c r="AK91" s="1" t="e">
        <f t="shared" si="56"/>
        <v>#N/A</v>
      </c>
      <c r="AL91" s="1" t="e">
        <f t="shared" si="57"/>
        <v>#N/A</v>
      </c>
      <c r="AM91" s="1" t="e">
        <f t="shared" si="58"/>
        <v>#N/A</v>
      </c>
      <c r="AN91" s="1" t="e">
        <f t="shared" si="59"/>
        <v>#N/A</v>
      </c>
      <c r="AO91" s="1" t="e">
        <f t="shared" si="60"/>
        <v>#N/A</v>
      </c>
      <c r="AP91" s="1" t="e">
        <f t="shared" si="61"/>
        <v>#N/A</v>
      </c>
      <c r="AQ91" s="1" t="e">
        <f t="shared" si="62"/>
        <v>#N/A</v>
      </c>
      <c r="AS91" s="1" t="e">
        <f>IF(Table1[[#This Row],[Type (TX, RX, TRX, Oscillator)]]="Relay",Table1[[#This Row],[Frequency (GHz)]],#N/A)</f>
        <v>#N/A</v>
      </c>
      <c r="AT91" s="30" t="e">
        <f>IF(Table1[[#This Row],[Type (TX, RX, TRX, Oscillator)]]="Relay",DATE(Table1[[#This Row],[Year ]],Table1[[#This Row],[Month]],1),#N/A)</f>
        <v>#N/A</v>
      </c>
      <c r="AU91" s="1" t="e">
        <f>IF(Table1[[#This Row],[Type (TX, RX, TRX, Oscillator)]]="Relay",Table1[[#This Row],[Total Number of Elements (TX + RX)]],#N/A)</f>
        <v>#N/A</v>
      </c>
      <c r="AV91" s="1" t="e">
        <f t="shared" si="63"/>
        <v>#N/A</v>
      </c>
      <c r="AW91" s="1" t="e">
        <f t="shared" si="64"/>
        <v>#N/A</v>
      </c>
      <c r="AX91" s="1" t="e">
        <f t="shared" si="65"/>
        <v>#N/A</v>
      </c>
      <c r="AY91" s="1" t="e">
        <f t="shared" si="66"/>
        <v>#N/A</v>
      </c>
      <c r="AZ91" s="1" t="e">
        <f t="shared" si="67"/>
        <v>#N/A</v>
      </c>
      <c r="BA91" s="1" t="e">
        <f t="shared" si="68"/>
        <v>#N/A</v>
      </c>
      <c r="BB91" s="1" t="e">
        <f t="shared" si="69"/>
        <v>#N/A</v>
      </c>
    </row>
    <row r="92" spans="1:54" x14ac:dyDescent="0.2">
      <c r="A92" s="1" t="e">
        <f>IF(OR(Table1[[#This Row],[Type (TX, RX, TRX, Oscillator)]]="TX", Table1[[#This Row],[Type (TX, RX, TRX, Oscillator)]]="TX FE"),Table1[[#This Row],[Frequency (GHz)]],#N/A)</f>
        <v>#N/A</v>
      </c>
      <c r="B92" s="30" t="e">
        <f>IF(OR(Table1[[#This Row],[Type (TX, RX, TRX, Oscillator)]]="TX", Table1[[#This Row],[Type (TX, RX, TRX, Oscillator)]]="TX FE"),DATE(Table1[[#This Row],[Year ]],Table1[[#This Row],[Month]],1),#N/A)</f>
        <v>#N/A</v>
      </c>
      <c r="C92" s="1" t="e">
        <f>IF(OR(Table1[[#This Row],[Type (TX, RX, TRX, Oscillator)]]="TX",Table1[[#This Row],[Type (TX, RX, TRX, Oscillator)]]="TX FE"),Table1[[#This Row],[Total Number of Elements (TX + RX)]],#N/A)</f>
        <v>#N/A</v>
      </c>
      <c r="D92" s="1" t="e">
        <f t="shared" si="35"/>
        <v>#N/A</v>
      </c>
      <c r="E92" s="1" t="e">
        <f t="shared" si="36"/>
        <v>#N/A</v>
      </c>
      <c r="F92" s="1" t="e">
        <f t="shared" si="37"/>
        <v>#N/A</v>
      </c>
      <c r="G92" s="1" t="e">
        <f t="shared" si="38"/>
        <v>#N/A</v>
      </c>
      <c r="H92" s="1" t="e">
        <f t="shared" si="39"/>
        <v>#N/A</v>
      </c>
      <c r="I92" s="1" t="e">
        <f t="shared" si="40"/>
        <v>#N/A</v>
      </c>
      <c r="J92" s="1" t="e">
        <f t="shared" si="41"/>
        <v>#N/A</v>
      </c>
      <c r="L92" s="1" t="e">
        <f>IF(OR(Table1[[#This Row],[Type (TX, RX, TRX, Oscillator)]]="RX", Table1[[#This Row],[Type (TX, RX, TRX, Oscillator)]]="RX FE"),Table1[[#This Row],[Frequency (GHz)]],#N/A)</f>
        <v>#N/A</v>
      </c>
      <c r="M92" s="30" t="e">
        <f>IF(OR(Table1[[#This Row],[Type (TX, RX, TRX, Oscillator)]]="RX", Table1[[#This Row],[Type (TX, RX, TRX, Oscillator)]]="RX FE"),DATE(Table1[[#This Row],[Year ]],Table1[[#This Row],[Month]],1),#N/A)</f>
        <v>#N/A</v>
      </c>
      <c r="N92" s="1" t="e">
        <f>IF(OR(Table1[[#This Row],[Type (TX, RX, TRX, Oscillator)]]="RX", Table1[[#This Row],[Type (TX, RX, TRX, Oscillator)]]="RX FE"),Table1[[#This Row],[Total Number of Elements (TX + RX)]],#N/A)</f>
        <v>#N/A</v>
      </c>
      <c r="O92" s="1" t="e">
        <f t="shared" si="42"/>
        <v>#N/A</v>
      </c>
      <c r="P92" s="1" t="e">
        <f t="shared" si="43"/>
        <v>#N/A</v>
      </c>
      <c r="Q92" s="1" t="e">
        <f t="shared" si="44"/>
        <v>#N/A</v>
      </c>
      <c r="R92" s="1" t="e">
        <f t="shared" si="45"/>
        <v>#N/A</v>
      </c>
      <c r="S92" s="1" t="e">
        <f t="shared" si="46"/>
        <v>#N/A</v>
      </c>
      <c r="T92" s="1" t="e">
        <f t="shared" si="47"/>
        <v>#N/A</v>
      </c>
      <c r="U92" s="1" t="e">
        <f t="shared" si="48"/>
        <v>#N/A</v>
      </c>
      <c r="W92" s="1">
        <f>IF(OR(Table1[[#This Row],[Type (TX, RX, TRX, Oscillator)]]="TRX",Table1[[#This Row],[Type (TX, RX, TRX, Oscillator)]]="TRX FE"),Table1[[#This Row],[Frequency (GHz)]],#N/A)</f>
        <v>39</v>
      </c>
      <c r="X92" s="30">
        <f>IF(OR(Table1[[#This Row],[Type (TX, RX, TRX, Oscillator)]]="TRX", Table1[[#This Row],[Type (TX, RX, TRX, Oscillator)]]="TRX FE"),DATE(Table1[[#This Row],[Year ]],Table1[[#This Row],[Month]],1),#N/A)</f>
        <v>44593</v>
      </c>
      <c r="Y92" s="1">
        <f>IF(OR(Table1[[#This Row],[Type (TX, RX, TRX, Oscillator)]]="TRX", Table1[[#This Row],[Type (TX, RX, TRX, Oscillator)]]="TRX FE"),Table1[[#This Row],[Total Number of Elements (TX + RX)]],#N/A)</f>
        <v>32</v>
      </c>
      <c r="Z92" s="1" t="e">
        <f t="shared" si="49"/>
        <v>#N/A</v>
      </c>
      <c r="AA92" s="1">
        <f t="shared" si="50"/>
        <v>32</v>
      </c>
      <c r="AB92" s="1" t="e">
        <f t="shared" si="51"/>
        <v>#N/A</v>
      </c>
      <c r="AC92" s="1" t="e">
        <f t="shared" si="52"/>
        <v>#N/A</v>
      </c>
      <c r="AD92" s="1" t="e">
        <f t="shared" si="53"/>
        <v>#N/A</v>
      </c>
      <c r="AE92" s="1" t="e">
        <f t="shared" si="54"/>
        <v>#N/A</v>
      </c>
      <c r="AF92" s="1" t="e">
        <f t="shared" si="55"/>
        <v>#N/A</v>
      </c>
      <c r="AH92" s="1" t="e">
        <f>IF(Table1[[#This Row],[Type (TX, RX, TRX, Oscillator)]]="Oscillator",Table1[[#This Row],[Frequency (GHz)]],#N/A)</f>
        <v>#N/A</v>
      </c>
      <c r="AI92" s="30" t="e">
        <f>IF(Table1[[#This Row],[Type (TX, RX, TRX, Oscillator)]]="Oscillator",DATE(Table1[[#This Row],[Year ]],Table1[[#This Row],[Month]],1),#N/A)</f>
        <v>#N/A</v>
      </c>
      <c r="AJ92" s="1" t="e">
        <f>IF(Table1[[#This Row],[Type (TX, RX, TRX, Oscillator)]]="Oscillator",Table1[[#This Row],[Total Number of Elements (TX + RX)]],#N/A)</f>
        <v>#N/A</v>
      </c>
      <c r="AK92" s="1" t="e">
        <f t="shared" si="56"/>
        <v>#N/A</v>
      </c>
      <c r="AL92" s="1" t="e">
        <f t="shared" si="57"/>
        <v>#N/A</v>
      </c>
      <c r="AM92" s="1" t="e">
        <f t="shared" si="58"/>
        <v>#N/A</v>
      </c>
      <c r="AN92" s="1" t="e">
        <f t="shared" si="59"/>
        <v>#N/A</v>
      </c>
      <c r="AO92" s="1" t="e">
        <f t="shared" si="60"/>
        <v>#N/A</v>
      </c>
      <c r="AP92" s="1" t="e">
        <f t="shared" si="61"/>
        <v>#N/A</v>
      </c>
      <c r="AQ92" s="1" t="e">
        <f t="shared" si="62"/>
        <v>#N/A</v>
      </c>
      <c r="AS92" s="1" t="e">
        <f>IF(Table1[[#This Row],[Type (TX, RX, TRX, Oscillator)]]="Relay",Table1[[#This Row],[Frequency (GHz)]],#N/A)</f>
        <v>#N/A</v>
      </c>
      <c r="AT92" s="30" t="e">
        <f>IF(Table1[[#This Row],[Type (TX, RX, TRX, Oscillator)]]="Relay",DATE(Table1[[#This Row],[Year ]],Table1[[#This Row],[Month]],1),#N/A)</f>
        <v>#N/A</v>
      </c>
      <c r="AU92" s="1" t="e">
        <f>IF(Table1[[#This Row],[Type (TX, RX, TRX, Oscillator)]]="Relay",Table1[[#This Row],[Total Number of Elements (TX + RX)]],#N/A)</f>
        <v>#N/A</v>
      </c>
      <c r="AV92" s="1" t="e">
        <f t="shared" si="63"/>
        <v>#N/A</v>
      </c>
      <c r="AW92" s="1" t="e">
        <f t="shared" si="64"/>
        <v>#N/A</v>
      </c>
      <c r="AX92" s="1" t="e">
        <f t="shared" si="65"/>
        <v>#N/A</v>
      </c>
      <c r="AY92" s="1" t="e">
        <f t="shared" si="66"/>
        <v>#N/A</v>
      </c>
      <c r="AZ92" s="1" t="e">
        <f t="shared" si="67"/>
        <v>#N/A</v>
      </c>
      <c r="BA92" s="1" t="e">
        <f t="shared" si="68"/>
        <v>#N/A</v>
      </c>
      <c r="BB92" s="1" t="e">
        <f t="shared" si="69"/>
        <v>#N/A</v>
      </c>
    </row>
    <row r="93" spans="1:54" x14ac:dyDescent="0.2">
      <c r="A93" s="1" t="e">
        <f>IF(OR(Table1[[#This Row],[Type (TX, RX, TRX, Oscillator)]]="TX", Table1[[#This Row],[Type (TX, RX, TRX, Oscillator)]]="TX FE"),Table1[[#This Row],[Frequency (GHz)]],#N/A)</f>
        <v>#N/A</v>
      </c>
      <c r="B93" s="30" t="e">
        <f>IF(OR(Table1[[#This Row],[Type (TX, RX, TRX, Oscillator)]]="TX", Table1[[#This Row],[Type (TX, RX, TRX, Oscillator)]]="TX FE"),DATE(Table1[[#This Row],[Year ]],Table1[[#This Row],[Month]],1),#N/A)</f>
        <v>#N/A</v>
      </c>
      <c r="C93" s="1" t="e">
        <f>IF(OR(Table1[[#This Row],[Type (TX, RX, TRX, Oscillator)]]="TX",Table1[[#This Row],[Type (TX, RX, TRX, Oscillator)]]="TX FE"),Table1[[#This Row],[Total Number of Elements (TX + RX)]],#N/A)</f>
        <v>#N/A</v>
      </c>
      <c r="D93" s="1" t="e">
        <f t="shared" si="35"/>
        <v>#N/A</v>
      </c>
      <c r="E93" s="1" t="e">
        <f t="shared" si="36"/>
        <v>#N/A</v>
      </c>
      <c r="F93" s="1" t="e">
        <f t="shared" si="37"/>
        <v>#N/A</v>
      </c>
      <c r="G93" s="1" t="e">
        <f t="shared" si="38"/>
        <v>#N/A</v>
      </c>
      <c r="H93" s="1" t="e">
        <f t="shared" si="39"/>
        <v>#N/A</v>
      </c>
      <c r="I93" s="1" t="e">
        <f t="shared" si="40"/>
        <v>#N/A</v>
      </c>
      <c r="J93" s="1" t="e">
        <f t="shared" si="41"/>
        <v>#N/A</v>
      </c>
      <c r="L93" s="1">
        <f>IF(OR(Table1[[#This Row],[Type (TX, RX, TRX, Oscillator)]]="RX", Table1[[#This Row],[Type (TX, RX, TRX, Oscillator)]]="RX FE"),Table1[[#This Row],[Frequency (GHz)]],#N/A)</f>
        <v>26</v>
      </c>
      <c r="M93" s="30">
        <f>IF(OR(Table1[[#This Row],[Type (TX, RX, TRX, Oscillator)]]="RX", Table1[[#This Row],[Type (TX, RX, TRX, Oscillator)]]="RX FE"),DATE(Table1[[#This Row],[Year ]],Table1[[#This Row],[Month]],1),#N/A)</f>
        <v>44593</v>
      </c>
      <c r="N93" s="1">
        <f>IF(OR(Table1[[#This Row],[Type (TX, RX, TRX, Oscillator)]]="RX", Table1[[#This Row],[Type (TX, RX, TRX, Oscillator)]]="RX FE"),Table1[[#This Row],[Total Number of Elements (TX + RX)]],#N/A)</f>
        <v>4</v>
      </c>
      <c r="O93" s="1" t="e">
        <f t="shared" si="42"/>
        <v>#N/A</v>
      </c>
      <c r="P93" s="1">
        <f t="shared" si="43"/>
        <v>4</v>
      </c>
      <c r="Q93" s="1" t="e">
        <f t="shared" si="44"/>
        <v>#N/A</v>
      </c>
      <c r="R93" s="1" t="e">
        <f t="shared" si="45"/>
        <v>#N/A</v>
      </c>
      <c r="S93" s="1" t="e">
        <f t="shared" si="46"/>
        <v>#N/A</v>
      </c>
      <c r="T93" s="1" t="e">
        <f t="shared" si="47"/>
        <v>#N/A</v>
      </c>
      <c r="U93" s="1" t="e">
        <f t="shared" si="48"/>
        <v>#N/A</v>
      </c>
      <c r="W93" s="1" t="e">
        <f>IF(OR(Table1[[#This Row],[Type (TX, RX, TRX, Oscillator)]]="TRX",Table1[[#This Row],[Type (TX, RX, TRX, Oscillator)]]="TRX FE"),Table1[[#This Row],[Frequency (GHz)]],#N/A)</f>
        <v>#N/A</v>
      </c>
      <c r="X93" s="30" t="e">
        <f>IF(OR(Table1[[#This Row],[Type (TX, RX, TRX, Oscillator)]]="TRX", Table1[[#This Row],[Type (TX, RX, TRX, Oscillator)]]="TRX FE"),DATE(Table1[[#This Row],[Year ]],Table1[[#This Row],[Month]],1),#N/A)</f>
        <v>#N/A</v>
      </c>
      <c r="Y93" s="1" t="e">
        <f>IF(OR(Table1[[#This Row],[Type (TX, RX, TRX, Oscillator)]]="TRX", Table1[[#This Row],[Type (TX, RX, TRX, Oscillator)]]="TRX FE"),Table1[[#This Row],[Total Number of Elements (TX + RX)]],#N/A)</f>
        <v>#N/A</v>
      </c>
      <c r="Z93" s="1" t="e">
        <f t="shared" si="49"/>
        <v>#N/A</v>
      </c>
      <c r="AA93" s="1" t="e">
        <f t="shared" si="50"/>
        <v>#N/A</v>
      </c>
      <c r="AB93" s="1" t="e">
        <f t="shared" si="51"/>
        <v>#N/A</v>
      </c>
      <c r="AC93" s="1" t="e">
        <f t="shared" si="52"/>
        <v>#N/A</v>
      </c>
      <c r="AD93" s="1" t="e">
        <f t="shared" si="53"/>
        <v>#N/A</v>
      </c>
      <c r="AE93" s="1" t="e">
        <f t="shared" si="54"/>
        <v>#N/A</v>
      </c>
      <c r="AF93" s="1" t="e">
        <f t="shared" si="55"/>
        <v>#N/A</v>
      </c>
      <c r="AH93" s="1" t="e">
        <f>IF(Table1[[#This Row],[Type (TX, RX, TRX, Oscillator)]]="Oscillator",Table1[[#This Row],[Frequency (GHz)]],#N/A)</f>
        <v>#N/A</v>
      </c>
      <c r="AI93" s="30" t="e">
        <f>IF(Table1[[#This Row],[Type (TX, RX, TRX, Oscillator)]]="Oscillator",DATE(Table1[[#This Row],[Year ]],Table1[[#This Row],[Month]],1),#N/A)</f>
        <v>#N/A</v>
      </c>
      <c r="AJ93" s="1" t="e">
        <f>IF(Table1[[#This Row],[Type (TX, RX, TRX, Oscillator)]]="Oscillator",Table1[[#This Row],[Total Number of Elements (TX + RX)]],#N/A)</f>
        <v>#N/A</v>
      </c>
      <c r="AK93" s="1" t="e">
        <f t="shared" si="56"/>
        <v>#N/A</v>
      </c>
      <c r="AL93" s="1" t="e">
        <f t="shared" si="57"/>
        <v>#N/A</v>
      </c>
      <c r="AM93" s="1" t="e">
        <f t="shared" si="58"/>
        <v>#N/A</v>
      </c>
      <c r="AN93" s="1" t="e">
        <f t="shared" si="59"/>
        <v>#N/A</v>
      </c>
      <c r="AO93" s="1" t="e">
        <f t="shared" si="60"/>
        <v>#N/A</v>
      </c>
      <c r="AP93" s="1" t="e">
        <f t="shared" si="61"/>
        <v>#N/A</v>
      </c>
      <c r="AQ93" s="1" t="e">
        <f t="shared" si="62"/>
        <v>#N/A</v>
      </c>
      <c r="AS93" s="1" t="e">
        <f>IF(Table1[[#This Row],[Type (TX, RX, TRX, Oscillator)]]="Relay",Table1[[#This Row],[Frequency (GHz)]],#N/A)</f>
        <v>#N/A</v>
      </c>
      <c r="AT93" s="30" t="e">
        <f>IF(Table1[[#This Row],[Type (TX, RX, TRX, Oscillator)]]="Relay",DATE(Table1[[#This Row],[Year ]],Table1[[#This Row],[Month]],1),#N/A)</f>
        <v>#N/A</v>
      </c>
      <c r="AU93" s="1" t="e">
        <f>IF(Table1[[#This Row],[Type (TX, RX, TRX, Oscillator)]]="Relay",Table1[[#This Row],[Total Number of Elements (TX + RX)]],#N/A)</f>
        <v>#N/A</v>
      </c>
      <c r="AV93" s="1" t="e">
        <f t="shared" si="63"/>
        <v>#N/A</v>
      </c>
      <c r="AW93" s="1" t="e">
        <f t="shared" si="64"/>
        <v>#N/A</v>
      </c>
      <c r="AX93" s="1" t="e">
        <f t="shared" si="65"/>
        <v>#N/A</v>
      </c>
      <c r="AY93" s="1" t="e">
        <f t="shared" si="66"/>
        <v>#N/A</v>
      </c>
      <c r="AZ93" s="1" t="e">
        <f t="shared" si="67"/>
        <v>#N/A</v>
      </c>
      <c r="BA93" s="1" t="e">
        <f t="shared" si="68"/>
        <v>#N/A</v>
      </c>
      <c r="BB93" s="1" t="e">
        <f t="shared" si="69"/>
        <v>#N/A</v>
      </c>
    </row>
    <row r="94" spans="1:54" x14ac:dyDescent="0.2">
      <c r="A94" s="1" t="e">
        <f>IF(OR(Table1[[#This Row],[Type (TX, RX, TRX, Oscillator)]]="TX", Table1[[#This Row],[Type (TX, RX, TRX, Oscillator)]]="TX FE"),Table1[[#This Row],[Frequency (GHz)]],#N/A)</f>
        <v>#N/A</v>
      </c>
      <c r="B94" s="30" t="e">
        <f>IF(OR(Table1[[#This Row],[Type (TX, RX, TRX, Oscillator)]]="TX", Table1[[#This Row],[Type (TX, RX, TRX, Oscillator)]]="TX FE"),DATE(Table1[[#This Row],[Year ]],Table1[[#This Row],[Month]],1),#N/A)</f>
        <v>#N/A</v>
      </c>
      <c r="C94" s="1" t="e">
        <f>IF(OR(Table1[[#This Row],[Type (TX, RX, TRX, Oscillator)]]="TX",Table1[[#This Row],[Type (TX, RX, TRX, Oscillator)]]="TX FE"),Table1[[#This Row],[Total Number of Elements (TX + RX)]],#N/A)</f>
        <v>#N/A</v>
      </c>
      <c r="D94" s="1" t="e">
        <f t="shared" si="35"/>
        <v>#N/A</v>
      </c>
      <c r="E94" s="1" t="e">
        <f t="shared" si="36"/>
        <v>#N/A</v>
      </c>
      <c r="F94" s="1" t="e">
        <f t="shared" si="37"/>
        <v>#N/A</v>
      </c>
      <c r="G94" s="1" t="e">
        <f t="shared" si="38"/>
        <v>#N/A</v>
      </c>
      <c r="H94" s="1" t="e">
        <f t="shared" si="39"/>
        <v>#N/A</v>
      </c>
      <c r="I94" s="1" t="e">
        <f t="shared" si="40"/>
        <v>#N/A</v>
      </c>
      <c r="J94" s="1" t="e">
        <f t="shared" si="41"/>
        <v>#N/A</v>
      </c>
      <c r="L94" s="1">
        <f>IF(OR(Table1[[#This Row],[Type (TX, RX, TRX, Oscillator)]]="RX", Table1[[#This Row],[Type (TX, RX, TRX, Oscillator)]]="RX FE"),Table1[[#This Row],[Frequency (GHz)]],#N/A)</f>
        <v>29</v>
      </c>
      <c r="M94" s="30">
        <f>IF(OR(Table1[[#This Row],[Type (TX, RX, TRX, Oscillator)]]="RX", Table1[[#This Row],[Type (TX, RX, TRX, Oscillator)]]="RX FE"),DATE(Table1[[#This Row],[Year ]],Table1[[#This Row],[Month]],1),#N/A)</f>
        <v>44593</v>
      </c>
      <c r="N94" s="1">
        <f>IF(OR(Table1[[#This Row],[Type (TX, RX, TRX, Oscillator)]]="RX", Table1[[#This Row],[Type (TX, RX, TRX, Oscillator)]]="RX FE"),Table1[[#This Row],[Total Number of Elements (TX + RX)]],#N/A)</f>
        <v>256</v>
      </c>
      <c r="O94" s="1" t="e">
        <f t="shared" si="42"/>
        <v>#N/A</v>
      </c>
      <c r="P94" s="1">
        <f t="shared" si="43"/>
        <v>256</v>
      </c>
      <c r="Q94" s="1" t="e">
        <f t="shared" si="44"/>
        <v>#N/A</v>
      </c>
      <c r="R94" s="1" t="e">
        <f t="shared" si="45"/>
        <v>#N/A</v>
      </c>
      <c r="S94" s="1" t="e">
        <f t="shared" si="46"/>
        <v>#N/A</v>
      </c>
      <c r="T94" s="1" t="e">
        <f t="shared" si="47"/>
        <v>#N/A</v>
      </c>
      <c r="U94" s="1" t="e">
        <f t="shared" si="48"/>
        <v>#N/A</v>
      </c>
      <c r="W94" s="1" t="e">
        <f>IF(OR(Table1[[#This Row],[Type (TX, RX, TRX, Oscillator)]]="TRX",Table1[[#This Row],[Type (TX, RX, TRX, Oscillator)]]="TRX FE"),Table1[[#This Row],[Frequency (GHz)]],#N/A)</f>
        <v>#N/A</v>
      </c>
      <c r="X94" s="30" t="e">
        <f>IF(OR(Table1[[#This Row],[Type (TX, RX, TRX, Oscillator)]]="TRX", Table1[[#This Row],[Type (TX, RX, TRX, Oscillator)]]="TRX FE"),DATE(Table1[[#This Row],[Year ]],Table1[[#This Row],[Month]],1),#N/A)</f>
        <v>#N/A</v>
      </c>
      <c r="Y94" s="1" t="e">
        <f>IF(OR(Table1[[#This Row],[Type (TX, RX, TRX, Oscillator)]]="TRX", Table1[[#This Row],[Type (TX, RX, TRX, Oscillator)]]="TRX FE"),Table1[[#This Row],[Total Number of Elements (TX + RX)]],#N/A)</f>
        <v>#N/A</v>
      </c>
      <c r="Z94" s="1" t="e">
        <f t="shared" si="49"/>
        <v>#N/A</v>
      </c>
      <c r="AA94" s="1" t="e">
        <f t="shared" si="50"/>
        <v>#N/A</v>
      </c>
      <c r="AB94" s="1" t="e">
        <f t="shared" si="51"/>
        <v>#N/A</v>
      </c>
      <c r="AC94" s="1" t="e">
        <f t="shared" si="52"/>
        <v>#N/A</v>
      </c>
      <c r="AD94" s="1" t="e">
        <f t="shared" si="53"/>
        <v>#N/A</v>
      </c>
      <c r="AE94" s="1" t="e">
        <f t="shared" si="54"/>
        <v>#N/A</v>
      </c>
      <c r="AF94" s="1" t="e">
        <f t="shared" si="55"/>
        <v>#N/A</v>
      </c>
      <c r="AH94" s="1" t="e">
        <f>IF(Table1[[#This Row],[Type (TX, RX, TRX, Oscillator)]]="Oscillator",Table1[[#This Row],[Frequency (GHz)]],#N/A)</f>
        <v>#N/A</v>
      </c>
      <c r="AI94" s="30" t="e">
        <f>IF(Table1[[#This Row],[Type (TX, RX, TRX, Oscillator)]]="Oscillator",DATE(Table1[[#This Row],[Year ]],Table1[[#This Row],[Month]],1),#N/A)</f>
        <v>#N/A</v>
      </c>
      <c r="AJ94" s="1" t="e">
        <f>IF(Table1[[#This Row],[Type (TX, RX, TRX, Oscillator)]]="Oscillator",Table1[[#This Row],[Total Number of Elements (TX + RX)]],#N/A)</f>
        <v>#N/A</v>
      </c>
      <c r="AK94" s="1" t="e">
        <f t="shared" si="56"/>
        <v>#N/A</v>
      </c>
      <c r="AL94" s="1" t="e">
        <f t="shared" si="57"/>
        <v>#N/A</v>
      </c>
      <c r="AM94" s="1" t="e">
        <f t="shared" si="58"/>
        <v>#N/A</v>
      </c>
      <c r="AN94" s="1" t="e">
        <f t="shared" si="59"/>
        <v>#N/A</v>
      </c>
      <c r="AO94" s="1" t="e">
        <f t="shared" si="60"/>
        <v>#N/A</v>
      </c>
      <c r="AP94" s="1" t="e">
        <f t="shared" si="61"/>
        <v>#N/A</v>
      </c>
      <c r="AQ94" s="1" t="e">
        <f t="shared" si="62"/>
        <v>#N/A</v>
      </c>
      <c r="AS94" s="1" t="e">
        <f>IF(Table1[[#This Row],[Type (TX, RX, TRX, Oscillator)]]="Relay",Table1[[#This Row],[Frequency (GHz)]],#N/A)</f>
        <v>#N/A</v>
      </c>
      <c r="AT94" s="30" t="e">
        <f>IF(Table1[[#This Row],[Type (TX, RX, TRX, Oscillator)]]="Relay",DATE(Table1[[#This Row],[Year ]],Table1[[#This Row],[Month]],1),#N/A)</f>
        <v>#N/A</v>
      </c>
      <c r="AU94" s="1" t="e">
        <f>IF(Table1[[#This Row],[Type (TX, RX, TRX, Oscillator)]]="Relay",Table1[[#This Row],[Total Number of Elements (TX + RX)]],#N/A)</f>
        <v>#N/A</v>
      </c>
      <c r="AV94" s="1" t="e">
        <f t="shared" si="63"/>
        <v>#N/A</v>
      </c>
      <c r="AW94" s="1" t="e">
        <f t="shared" si="64"/>
        <v>#N/A</v>
      </c>
      <c r="AX94" s="1" t="e">
        <f t="shared" si="65"/>
        <v>#N/A</v>
      </c>
      <c r="AY94" s="1" t="e">
        <f t="shared" si="66"/>
        <v>#N/A</v>
      </c>
      <c r="AZ94" s="1" t="e">
        <f t="shared" si="67"/>
        <v>#N/A</v>
      </c>
      <c r="BA94" s="1" t="e">
        <f t="shared" si="68"/>
        <v>#N/A</v>
      </c>
      <c r="BB94" s="1" t="e">
        <f t="shared" si="69"/>
        <v>#N/A</v>
      </c>
    </row>
    <row r="95" spans="1:54" x14ac:dyDescent="0.2">
      <c r="A95" s="1" t="e">
        <f>IF(OR(Table1[[#This Row],[Type (TX, RX, TRX, Oscillator)]]="TX", Table1[[#This Row],[Type (TX, RX, TRX, Oscillator)]]="TX FE"),Table1[[#This Row],[Frequency (GHz)]],#N/A)</f>
        <v>#N/A</v>
      </c>
      <c r="B95" s="30" t="e">
        <f>IF(OR(Table1[[#This Row],[Type (TX, RX, TRX, Oscillator)]]="TX", Table1[[#This Row],[Type (TX, RX, TRX, Oscillator)]]="TX FE"),DATE(Table1[[#This Row],[Year ]],Table1[[#This Row],[Month]],1),#N/A)</f>
        <v>#N/A</v>
      </c>
      <c r="C95" s="1" t="e">
        <f>IF(OR(Table1[[#This Row],[Type (TX, RX, TRX, Oscillator)]]="TX",Table1[[#This Row],[Type (TX, RX, TRX, Oscillator)]]="TX FE"),Table1[[#This Row],[Total Number of Elements (TX + RX)]],#N/A)</f>
        <v>#N/A</v>
      </c>
      <c r="D95" s="1" t="e">
        <f t="shared" si="35"/>
        <v>#N/A</v>
      </c>
      <c r="E95" s="1" t="e">
        <f t="shared" si="36"/>
        <v>#N/A</v>
      </c>
      <c r="F95" s="1" t="e">
        <f t="shared" si="37"/>
        <v>#N/A</v>
      </c>
      <c r="G95" s="1" t="e">
        <f t="shared" si="38"/>
        <v>#N/A</v>
      </c>
      <c r="H95" s="1" t="e">
        <f t="shared" si="39"/>
        <v>#N/A</v>
      </c>
      <c r="I95" s="1" t="e">
        <f t="shared" si="40"/>
        <v>#N/A</v>
      </c>
      <c r="J95" s="1" t="e">
        <f t="shared" si="41"/>
        <v>#N/A</v>
      </c>
      <c r="L95" s="1">
        <f>IF(OR(Table1[[#This Row],[Type (TX, RX, TRX, Oscillator)]]="RX", Table1[[#This Row],[Type (TX, RX, TRX, Oscillator)]]="RX FE"),Table1[[#This Row],[Frequency (GHz)]],#N/A)</f>
        <v>300</v>
      </c>
      <c r="M95" s="30">
        <f>IF(OR(Table1[[#This Row],[Type (TX, RX, TRX, Oscillator)]]="RX", Table1[[#This Row],[Type (TX, RX, TRX, Oscillator)]]="RX FE"),DATE(Table1[[#This Row],[Year ]],Table1[[#This Row],[Month]],1),#N/A)</f>
        <v>44593</v>
      </c>
      <c r="N95" s="1">
        <f>IF(OR(Table1[[#This Row],[Type (TX, RX, TRX, Oscillator)]]="RX", Table1[[#This Row],[Type (TX, RX, TRX, Oscillator)]]="RX FE"),Table1[[#This Row],[Total Number of Elements (TX + RX)]],#N/A)</f>
        <v>1</v>
      </c>
      <c r="O95" s="1" t="e">
        <f t="shared" si="42"/>
        <v>#N/A</v>
      </c>
      <c r="P95" s="1" t="e">
        <f t="shared" si="43"/>
        <v>#N/A</v>
      </c>
      <c r="Q95" s="1" t="e">
        <f t="shared" si="44"/>
        <v>#N/A</v>
      </c>
      <c r="R95" s="1" t="e">
        <f t="shared" si="45"/>
        <v>#N/A</v>
      </c>
      <c r="S95" s="1" t="e">
        <f t="shared" si="46"/>
        <v>#N/A</v>
      </c>
      <c r="T95" s="1" t="e">
        <f t="shared" si="47"/>
        <v>#N/A</v>
      </c>
      <c r="U95" s="1">
        <f t="shared" si="48"/>
        <v>1</v>
      </c>
      <c r="W95" s="1" t="e">
        <f>IF(OR(Table1[[#This Row],[Type (TX, RX, TRX, Oscillator)]]="TRX",Table1[[#This Row],[Type (TX, RX, TRX, Oscillator)]]="TRX FE"),Table1[[#This Row],[Frequency (GHz)]],#N/A)</f>
        <v>#N/A</v>
      </c>
      <c r="X95" s="30" t="e">
        <f>IF(OR(Table1[[#This Row],[Type (TX, RX, TRX, Oscillator)]]="TRX", Table1[[#This Row],[Type (TX, RX, TRX, Oscillator)]]="TRX FE"),DATE(Table1[[#This Row],[Year ]],Table1[[#This Row],[Month]],1),#N/A)</f>
        <v>#N/A</v>
      </c>
      <c r="Y95" s="1" t="e">
        <f>IF(OR(Table1[[#This Row],[Type (TX, RX, TRX, Oscillator)]]="TRX", Table1[[#This Row],[Type (TX, RX, TRX, Oscillator)]]="TRX FE"),Table1[[#This Row],[Total Number of Elements (TX + RX)]],#N/A)</f>
        <v>#N/A</v>
      </c>
      <c r="Z95" s="1" t="e">
        <f t="shared" si="49"/>
        <v>#N/A</v>
      </c>
      <c r="AA95" s="1" t="e">
        <f t="shared" si="50"/>
        <v>#N/A</v>
      </c>
      <c r="AB95" s="1" t="e">
        <f t="shared" si="51"/>
        <v>#N/A</v>
      </c>
      <c r="AC95" s="1" t="e">
        <f t="shared" si="52"/>
        <v>#N/A</v>
      </c>
      <c r="AD95" s="1" t="e">
        <f t="shared" si="53"/>
        <v>#N/A</v>
      </c>
      <c r="AE95" s="1" t="e">
        <f t="shared" si="54"/>
        <v>#N/A</v>
      </c>
      <c r="AF95" s="1" t="e">
        <f t="shared" si="55"/>
        <v>#N/A</v>
      </c>
      <c r="AH95" s="1" t="e">
        <f>IF(Table1[[#This Row],[Type (TX, RX, TRX, Oscillator)]]="Oscillator",Table1[[#This Row],[Frequency (GHz)]],#N/A)</f>
        <v>#N/A</v>
      </c>
      <c r="AI95" s="30" t="e">
        <f>IF(Table1[[#This Row],[Type (TX, RX, TRX, Oscillator)]]="Oscillator",DATE(Table1[[#This Row],[Year ]],Table1[[#This Row],[Month]],1),#N/A)</f>
        <v>#N/A</v>
      </c>
      <c r="AJ95" s="1" t="e">
        <f>IF(Table1[[#This Row],[Type (TX, RX, TRX, Oscillator)]]="Oscillator",Table1[[#This Row],[Total Number of Elements (TX + RX)]],#N/A)</f>
        <v>#N/A</v>
      </c>
      <c r="AK95" s="1" t="e">
        <f t="shared" si="56"/>
        <v>#N/A</v>
      </c>
      <c r="AL95" s="1" t="e">
        <f t="shared" si="57"/>
        <v>#N/A</v>
      </c>
      <c r="AM95" s="1" t="e">
        <f t="shared" si="58"/>
        <v>#N/A</v>
      </c>
      <c r="AN95" s="1" t="e">
        <f t="shared" si="59"/>
        <v>#N/A</v>
      </c>
      <c r="AO95" s="1" t="e">
        <f t="shared" si="60"/>
        <v>#N/A</v>
      </c>
      <c r="AP95" s="1" t="e">
        <f t="shared" si="61"/>
        <v>#N/A</v>
      </c>
      <c r="AQ95" s="1" t="e">
        <f t="shared" si="62"/>
        <v>#N/A</v>
      </c>
      <c r="AS95" s="1" t="e">
        <f>IF(Table1[[#This Row],[Type (TX, RX, TRX, Oscillator)]]="Relay",Table1[[#This Row],[Frequency (GHz)]],#N/A)</f>
        <v>#N/A</v>
      </c>
      <c r="AT95" s="30" t="e">
        <f>IF(Table1[[#This Row],[Type (TX, RX, TRX, Oscillator)]]="Relay",DATE(Table1[[#This Row],[Year ]],Table1[[#This Row],[Month]],1),#N/A)</f>
        <v>#N/A</v>
      </c>
      <c r="AU95" s="1" t="e">
        <f>IF(Table1[[#This Row],[Type (TX, RX, TRX, Oscillator)]]="Relay",Table1[[#This Row],[Total Number of Elements (TX + RX)]],#N/A)</f>
        <v>#N/A</v>
      </c>
      <c r="AV95" s="1" t="e">
        <f t="shared" si="63"/>
        <v>#N/A</v>
      </c>
      <c r="AW95" s="1" t="e">
        <f t="shared" si="64"/>
        <v>#N/A</v>
      </c>
      <c r="AX95" s="1" t="e">
        <f t="shared" si="65"/>
        <v>#N/A</v>
      </c>
      <c r="AY95" s="1" t="e">
        <f t="shared" si="66"/>
        <v>#N/A</v>
      </c>
      <c r="AZ95" s="1" t="e">
        <f t="shared" si="67"/>
        <v>#N/A</v>
      </c>
      <c r="BA95" s="1" t="e">
        <f t="shared" si="68"/>
        <v>#N/A</v>
      </c>
      <c r="BB95" s="1" t="e">
        <f t="shared" si="69"/>
        <v>#N/A</v>
      </c>
    </row>
    <row r="96" spans="1:54" x14ac:dyDescent="0.2">
      <c r="A96" s="1" t="e">
        <f>IF(OR(Table1[[#This Row],[Type (TX, RX, TRX, Oscillator)]]="TX", Table1[[#This Row],[Type (TX, RX, TRX, Oscillator)]]="TX FE"),Table1[[#This Row],[Frequency (GHz)]],#N/A)</f>
        <v>#N/A</v>
      </c>
      <c r="B96" s="30" t="e">
        <f>IF(OR(Table1[[#This Row],[Type (TX, RX, TRX, Oscillator)]]="TX", Table1[[#This Row],[Type (TX, RX, TRX, Oscillator)]]="TX FE"),DATE(Table1[[#This Row],[Year ]],Table1[[#This Row],[Month]],1),#N/A)</f>
        <v>#N/A</v>
      </c>
      <c r="C96" s="1" t="e">
        <f>IF(OR(Table1[[#This Row],[Type (TX, RX, TRX, Oscillator)]]="TX",Table1[[#This Row],[Type (TX, RX, TRX, Oscillator)]]="TX FE"),Table1[[#This Row],[Total Number of Elements (TX + RX)]],#N/A)</f>
        <v>#N/A</v>
      </c>
      <c r="D96" s="1" t="e">
        <f t="shared" si="35"/>
        <v>#N/A</v>
      </c>
      <c r="E96" s="1" t="e">
        <f t="shared" si="36"/>
        <v>#N/A</v>
      </c>
      <c r="F96" s="1" t="e">
        <f t="shared" si="37"/>
        <v>#N/A</v>
      </c>
      <c r="G96" s="1" t="e">
        <f t="shared" si="38"/>
        <v>#N/A</v>
      </c>
      <c r="H96" s="1" t="e">
        <f t="shared" si="39"/>
        <v>#N/A</v>
      </c>
      <c r="I96" s="1" t="e">
        <f t="shared" si="40"/>
        <v>#N/A</v>
      </c>
      <c r="J96" s="1" t="e">
        <f t="shared" si="41"/>
        <v>#N/A</v>
      </c>
      <c r="L96" s="1" t="e">
        <f>IF(OR(Table1[[#This Row],[Type (TX, RX, TRX, Oscillator)]]="RX", Table1[[#This Row],[Type (TX, RX, TRX, Oscillator)]]="RX FE"),Table1[[#This Row],[Frequency (GHz)]],#N/A)</f>
        <v>#N/A</v>
      </c>
      <c r="M96" s="30" t="e">
        <f>IF(OR(Table1[[#This Row],[Type (TX, RX, TRX, Oscillator)]]="RX", Table1[[#This Row],[Type (TX, RX, TRX, Oscillator)]]="RX FE"),DATE(Table1[[#This Row],[Year ]],Table1[[#This Row],[Month]],1),#N/A)</f>
        <v>#N/A</v>
      </c>
      <c r="N96" s="1" t="e">
        <f>IF(OR(Table1[[#This Row],[Type (TX, RX, TRX, Oscillator)]]="RX", Table1[[#This Row],[Type (TX, RX, TRX, Oscillator)]]="RX FE"),Table1[[#This Row],[Total Number of Elements (TX + RX)]],#N/A)</f>
        <v>#N/A</v>
      </c>
      <c r="O96" s="1" t="e">
        <f t="shared" si="42"/>
        <v>#N/A</v>
      </c>
      <c r="P96" s="1" t="e">
        <f t="shared" si="43"/>
        <v>#N/A</v>
      </c>
      <c r="Q96" s="1" t="e">
        <f t="shared" si="44"/>
        <v>#N/A</v>
      </c>
      <c r="R96" s="1" t="e">
        <f t="shared" si="45"/>
        <v>#N/A</v>
      </c>
      <c r="S96" s="1" t="e">
        <f t="shared" si="46"/>
        <v>#N/A</v>
      </c>
      <c r="T96" s="1" t="e">
        <f t="shared" si="47"/>
        <v>#N/A</v>
      </c>
      <c r="U96" s="1" t="e">
        <f t="shared" si="48"/>
        <v>#N/A</v>
      </c>
      <c r="W96" s="1" t="e">
        <f>IF(OR(Table1[[#This Row],[Type (TX, RX, TRX, Oscillator)]]="TRX",Table1[[#This Row],[Type (TX, RX, TRX, Oscillator)]]="TRX FE"),Table1[[#This Row],[Frequency (GHz)]],#N/A)</f>
        <v>#N/A</v>
      </c>
      <c r="X96" s="30" t="e">
        <f>IF(OR(Table1[[#This Row],[Type (TX, RX, TRX, Oscillator)]]="TRX", Table1[[#This Row],[Type (TX, RX, TRX, Oscillator)]]="TRX FE"),DATE(Table1[[#This Row],[Year ]],Table1[[#This Row],[Month]],1),#N/A)</f>
        <v>#N/A</v>
      </c>
      <c r="Y96" s="1" t="e">
        <f>IF(OR(Table1[[#This Row],[Type (TX, RX, TRX, Oscillator)]]="TRX", Table1[[#This Row],[Type (TX, RX, TRX, Oscillator)]]="TRX FE"),Table1[[#This Row],[Total Number of Elements (TX + RX)]],#N/A)</f>
        <v>#N/A</v>
      </c>
      <c r="Z96" s="1" t="e">
        <f t="shared" si="49"/>
        <v>#N/A</v>
      </c>
      <c r="AA96" s="1" t="e">
        <f t="shared" si="50"/>
        <v>#N/A</v>
      </c>
      <c r="AB96" s="1" t="e">
        <f t="shared" si="51"/>
        <v>#N/A</v>
      </c>
      <c r="AC96" s="1" t="e">
        <f t="shared" si="52"/>
        <v>#N/A</v>
      </c>
      <c r="AD96" s="1" t="e">
        <f t="shared" si="53"/>
        <v>#N/A</v>
      </c>
      <c r="AE96" s="1" t="e">
        <f t="shared" si="54"/>
        <v>#N/A</v>
      </c>
      <c r="AF96" s="1" t="e">
        <f t="shared" si="55"/>
        <v>#N/A</v>
      </c>
      <c r="AH96" s="1">
        <f>IF(Table1[[#This Row],[Type (TX, RX, TRX, Oscillator)]]="Oscillator",Table1[[#This Row],[Frequency (GHz)]],#N/A)</f>
        <v>431</v>
      </c>
      <c r="AI96" s="30">
        <f>IF(Table1[[#This Row],[Type (TX, RX, TRX, Oscillator)]]="Oscillator",DATE(Table1[[#This Row],[Year ]],Table1[[#This Row],[Month]],1),#N/A)</f>
        <v>44593</v>
      </c>
      <c r="AJ96" s="1">
        <f>IF(Table1[[#This Row],[Type (TX, RX, TRX, Oscillator)]]="Oscillator",Table1[[#This Row],[Total Number of Elements (TX + RX)]],#N/A)</f>
        <v>6</v>
      </c>
      <c r="AK96" s="1" t="e">
        <f t="shared" si="56"/>
        <v>#N/A</v>
      </c>
      <c r="AL96" s="1" t="e">
        <f t="shared" si="57"/>
        <v>#N/A</v>
      </c>
      <c r="AM96" s="1" t="e">
        <f t="shared" si="58"/>
        <v>#N/A</v>
      </c>
      <c r="AN96" s="1" t="e">
        <f t="shared" si="59"/>
        <v>#N/A</v>
      </c>
      <c r="AO96" s="1" t="e">
        <f t="shared" si="60"/>
        <v>#N/A</v>
      </c>
      <c r="AP96" s="1" t="e">
        <f t="shared" si="61"/>
        <v>#N/A</v>
      </c>
      <c r="AQ96" s="1">
        <f t="shared" si="62"/>
        <v>6</v>
      </c>
      <c r="AS96" s="1" t="e">
        <f>IF(Table1[[#This Row],[Type (TX, RX, TRX, Oscillator)]]="Relay",Table1[[#This Row],[Frequency (GHz)]],#N/A)</f>
        <v>#N/A</v>
      </c>
      <c r="AT96" s="30" t="e">
        <f>IF(Table1[[#This Row],[Type (TX, RX, TRX, Oscillator)]]="Relay",DATE(Table1[[#This Row],[Year ]],Table1[[#This Row],[Month]],1),#N/A)</f>
        <v>#N/A</v>
      </c>
      <c r="AU96" s="1" t="e">
        <f>IF(Table1[[#This Row],[Type (TX, RX, TRX, Oscillator)]]="Relay",Table1[[#This Row],[Total Number of Elements (TX + RX)]],#N/A)</f>
        <v>#N/A</v>
      </c>
      <c r="AV96" s="1" t="e">
        <f t="shared" si="63"/>
        <v>#N/A</v>
      </c>
      <c r="AW96" s="1" t="e">
        <f t="shared" si="64"/>
        <v>#N/A</v>
      </c>
      <c r="AX96" s="1" t="e">
        <f t="shared" si="65"/>
        <v>#N/A</v>
      </c>
      <c r="AY96" s="1" t="e">
        <f t="shared" si="66"/>
        <v>#N/A</v>
      </c>
      <c r="AZ96" s="1" t="e">
        <f t="shared" si="67"/>
        <v>#N/A</v>
      </c>
      <c r="BA96" s="1" t="e">
        <f t="shared" si="68"/>
        <v>#N/A</v>
      </c>
      <c r="BB96" s="1" t="e">
        <f t="shared" si="69"/>
        <v>#N/A</v>
      </c>
    </row>
    <row r="97" spans="1:54" x14ac:dyDescent="0.2">
      <c r="A97" s="1">
        <f>IF(OR(Table1[[#This Row],[Type (TX, RX, TRX, Oscillator)]]="TX", Table1[[#This Row],[Type (TX, RX, TRX, Oscillator)]]="TX FE"),Table1[[#This Row],[Frequency (GHz)]],#N/A)</f>
        <v>140</v>
      </c>
      <c r="B97" s="30">
        <f>IF(OR(Table1[[#This Row],[Type (TX, RX, TRX, Oscillator)]]="TX", Table1[[#This Row],[Type (TX, RX, TRX, Oscillator)]]="TX FE"),DATE(Table1[[#This Row],[Year ]],Table1[[#This Row],[Month]],1),#N/A)</f>
        <v>44593</v>
      </c>
      <c r="C97" s="1">
        <f>IF(OR(Table1[[#This Row],[Type (TX, RX, TRX, Oscillator)]]="TX",Table1[[#This Row],[Type (TX, RX, TRX, Oscillator)]]="TX FE"),Table1[[#This Row],[Total Number of Elements (TX + RX)]],#N/A)</f>
        <v>1</v>
      </c>
      <c r="D97" s="1" t="e">
        <f t="shared" si="35"/>
        <v>#N/A</v>
      </c>
      <c r="E97" s="1" t="e">
        <f t="shared" si="36"/>
        <v>#N/A</v>
      </c>
      <c r="F97" s="1" t="e">
        <f t="shared" si="37"/>
        <v>#N/A</v>
      </c>
      <c r="G97" s="1" t="e">
        <f t="shared" si="38"/>
        <v>#N/A</v>
      </c>
      <c r="H97" s="1">
        <f t="shared" si="39"/>
        <v>1</v>
      </c>
      <c r="I97" s="1" t="e">
        <f t="shared" si="40"/>
        <v>#N/A</v>
      </c>
      <c r="J97" s="1" t="e">
        <f t="shared" si="41"/>
        <v>#N/A</v>
      </c>
      <c r="L97" s="1" t="e">
        <f>IF(OR(Table1[[#This Row],[Type (TX, RX, TRX, Oscillator)]]="RX", Table1[[#This Row],[Type (TX, RX, TRX, Oscillator)]]="RX FE"),Table1[[#This Row],[Frequency (GHz)]],#N/A)</f>
        <v>#N/A</v>
      </c>
      <c r="M97" s="30" t="e">
        <f>IF(OR(Table1[[#This Row],[Type (TX, RX, TRX, Oscillator)]]="RX", Table1[[#This Row],[Type (TX, RX, TRX, Oscillator)]]="RX FE"),DATE(Table1[[#This Row],[Year ]],Table1[[#This Row],[Month]],1),#N/A)</f>
        <v>#N/A</v>
      </c>
      <c r="N97" s="1" t="e">
        <f>IF(OR(Table1[[#This Row],[Type (TX, RX, TRX, Oscillator)]]="RX", Table1[[#This Row],[Type (TX, RX, TRX, Oscillator)]]="RX FE"),Table1[[#This Row],[Total Number of Elements (TX + RX)]],#N/A)</f>
        <v>#N/A</v>
      </c>
      <c r="O97" s="1" t="e">
        <f t="shared" si="42"/>
        <v>#N/A</v>
      </c>
      <c r="P97" s="1" t="e">
        <f t="shared" si="43"/>
        <v>#N/A</v>
      </c>
      <c r="Q97" s="1" t="e">
        <f t="shared" si="44"/>
        <v>#N/A</v>
      </c>
      <c r="R97" s="1" t="e">
        <f t="shared" si="45"/>
        <v>#N/A</v>
      </c>
      <c r="S97" s="1" t="e">
        <f t="shared" si="46"/>
        <v>#N/A</v>
      </c>
      <c r="T97" s="1" t="e">
        <f t="shared" si="47"/>
        <v>#N/A</v>
      </c>
      <c r="U97" s="1" t="e">
        <f t="shared" si="48"/>
        <v>#N/A</v>
      </c>
      <c r="W97" s="1" t="e">
        <f>IF(OR(Table1[[#This Row],[Type (TX, RX, TRX, Oscillator)]]="TRX",Table1[[#This Row],[Type (TX, RX, TRX, Oscillator)]]="TRX FE"),Table1[[#This Row],[Frequency (GHz)]],#N/A)</f>
        <v>#N/A</v>
      </c>
      <c r="X97" s="30" t="e">
        <f>IF(OR(Table1[[#This Row],[Type (TX, RX, TRX, Oscillator)]]="TRX", Table1[[#This Row],[Type (TX, RX, TRX, Oscillator)]]="TRX FE"),DATE(Table1[[#This Row],[Year ]],Table1[[#This Row],[Month]],1),#N/A)</f>
        <v>#N/A</v>
      </c>
      <c r="Y97" s="1" t="e">
        <f>IF(OR(Table1[[#This Row],[Type (TX, RX, TRX, Oscillator)]]="TRX", Table1[[#This Row],[Type (TX, RX, TRX, Oscillator)]]="TRX FE"),Table1[[#This Row],[Total Number of Elements (TX + RX)]],#N/A)</f>
        <v>#N/A</v>
      </c>
      <c r="Z97" s="1" t="e">
        <f t="shared" si="49"/>
        <v>#N/A</v>
      </c>
      <c r="AA97" s="1" t="e">
        <f t="shared" si="50"/>
        <v>#N/A</v>
      </c>
      <c r="AB97" s="1" t="e">
        <f t="shared" si="51"/>
        <v>#N/A</v>
      </c>
      <c r="AC97" s="1" t="e">
        <f t="shared" si="52"/>
        <v>#N/A</v>
      </c>
      <c r="AD97" s="1" t="e">
        <f t="shared" si="53"/>
        <v>#N/A</v>
      </c>
      <c r="AE97" s="1" t="e">
        <f t="shared" si="54"/>
        <v>#N/A</v>
      </c>
      <c r="AF97" s="1" t="e">
        <f t="shared" si="55"/>
        <v>#N/A</v>
      </c>
      <c r="AH97" s="1" t="e">
        <f>IF(Table1[[#This Row],[Type (TX, RX, TRX, Oscillator)]]="Oscillator",Table1[[#This Row],[Frequency (GHz)]],#N/A)</f>
        <v>#N/A</v>
      </c>
      <c r="AI97" s="30" t="e">
        <f>IF(Table1[[#This Row],[Type (TX, RX, TRX, Oscillator)]]="Oscillator",DATE(Table1[[#This Row],[Year ]],Table1[[#This Row],[Month]],1),#N/A)</f>
        <v>#N/A</v>
      </c>
      <c r="AJ97" s="1" t="e">
        <f>IF(Table1[[#This Row],[Type (TX, RX, TRX, Oscillator)]]="Oscillator",Table1[[#This Row],[Total Number of Elements (TX + RX)]],#N/A)</f>
        <v>#N/A</v>
      </c>
      <c r="AK97" s="1" t="e">
        <f t="shared" si="56"/>
        <v>#N/A</v>
      </c>
      <c r="AL97" s="1" t="e">
        <f t="shared" si="57"/>
        <v>#N/A</v>
      </c>
      <c r="AM97" s="1" t="e">
        <f t="shared" si="58"/>
        <v>#N/A</v>
      </c>
      <c r="AN97" s="1" t="e">
        <f t="shared" si="59"/>
        <v>#N/A</v>
      </c>
      <c r="AO97" s="1" t="e">
        <f t="shared" si="60"/>
        <v>#N/A</v>
      </c>
      <c r="AP97" s="1" t="e">
        <f t="shared" si="61"/>
        <v>#N/A</v>
      </c>
      <c r="AQ97" s="1" t="e">
        <f t="shared" si="62"/>
        <v>#N/A</v>
      </c>
      <c r="AS97" s="1" t="e">
        <f>IF(Table1[[#This Row],[Type (TX, RX, TRX, Oscillator)]]="Relay",Table1[[#This Row],[Frequency (GHz)]],#N/A)</f>
        <v>#N/A</v>
      </c>
      <c r="AT97" s="30" t="e">
        <f>IF(Table1[[#This Row],[Type (TX, RX, TRX, Oscillator)]]="Relay",DATE(Table1[[#This Row],[Year ]],Table1[[#This Row],[Month]],1),#N/A)</f>
        <v>#N/A</v>
      </c>
      <c r="AU97" s="1" t="e">
        <f>IF(Table1[[#This Row],[Type (TX, RX, TRX, Oscillator)]]="Relay",Table1[[#This Row],[Total Number of Elements (TX + RX)]],#N/A)</f>
        <v>#N/A</v>
      </c>
      <c r="AV97" s="1" t="e">
        <f t="shared" si="63"/>
        <v>#N/A</v>
      </c>
      <c r="AW97" s="1" t="e">
        <f t="shared" si="64"/>
        <v>#N/A</v>
      </c>
      <c r="AX97" s="1" t="e">
        <f t="shared" si="65"/>
        <v>#N/A</v>
      </c>
      <c r="AY97" s="1" t="e">
        <f t="shared" si="66"/>
        <v>#N/A</v>
      </c>
      <c r="AZ97" s="1" t="e">
        <f t="shared" si="67"/>
        <v>#N/A</v>
      </c>
      <c r="BA97" s="1" t="e">
        <f t="shared" si="68"/>
        <v>#N/A</v>
      </c>
      <c r="BB97" s="1" t="e">
        <f t="shared" si="69"/>
        <v>#N/A</v>
      </c>
    </row>
    <row r="98" spans="1:54" x14ac:dyDescent="0.2">
      <c r="A98" s="1">
        <f>IF(OR(Table1[[#This Row],[Type (TX, RX, TRX, Oscillator)]]="TX", Table1[[#This Row],[Type (TX, RX, TRX, Oscillator)]]="TX FE"),Table1[[#This Row],[Frequency (GHz)]],#N/A)</f>
        <v>136</v>
      </c>
      <c r="B98" s="30">
        <f>IF(OR(Table1[[#This Row],[Type (TX, RX, TRX, Oscillator)]]="TX", Table1[[#This Row],[Type (TX, RX, TRX, Oscillator)]]="TX FE"),DATE(Table1[[#This Row],[Year ]],Table1[[#This Row],[Month]],1),#N/A)</f>
        <v>44593</v>
      </c>
      <c r="C98" s="1">
        <f>IF(OR(Table1[[#This Row],[Type (TX, RX, TRX, Oscillator)]]="TX",Table1[[#This Row],[Type (TX, RX, TRX, Oscillator)]]="TX FE"),Table1[[#This Row],[Total Number of Elements (TX + RX)]],#N/A)</f>
        <v>8</v>
      </c>
      <c r="D98" s="1" t="e">
        <f t="shared" si="35"/>
        <v>#N/A</v>
      </c>
      <c r="E98" s="1" t="e">
        <f t="shared" si="36"/>
        <v>#N/A</v>
      </c>
      <c r="F98" s="1" t="e">
        <f t="shared" si="37"/>
        <v>#N/A</v>
      </c>
      <c r="G98" s="1" t="e">
        <f t="shared" si="38"/>
        <v>#N/A</v>
      </c>
      <c r="H98" s="1">
        <f t="shared" si="39"/>
        <v>8</v>
      </c>
      <c r="I98" s="1" t="e">
        <f t="shared" si="40"/>
        <v>#N/A</v>
      </c>
      <c r="J98" s="1" t="e">
        <f t="shared" si="41"/>
        <v>#N/A</v>
      </c>
      <c r="L98" s="1" t="e">
        <f>IF(OR(Table1[[#This Row],[Type (TX, RX, TRX, Oscillator)]]="RX", Table1[[#This Row],[Type (TX, RX, TRX, Oscillator)]]="RX FE"),Table1[[#This Row],[Frequency (GHz)]],#N/A)</f>
        <v>#N/A</v>
      </c>
      <c r="M98" s="30" t="e">
        <f>IF(OR(Table1[[#This Row],[Type (TX, RX, TRX, Oscillator)]]="RX", Table1[[#This Row],[Type (TX, RX, TRX, Oscillator)]]="RX FE"),DATE(Table1[[#This Row],[Year ]],Table1[[#This Row],[Month]],1),#N/A)</f>
        <v>#N/A</v>
      </c>
      <c r="N98" s="1" t="e">
        <f>IF(OR(Table1[[#This Row],[Type (TX, RX, TRX, Oscillator)]]="RX", Table1[[#This Row],[Type (TX, RX, TRX, Oscillator)]]="RX FE"),Table1[[#This Row],[Total Number of Elements (TX + RX)]],#N/A)</f>
        <v>#N/A</v>
      </c>
      <c r="O98" s="1" t="e">
        <f t="shared" si="42"/>
        <v>#N/A</v>
      </c>
      <c r="P98" s="1" t="e">
        <f t="shared" si="43"/>
        <v>#N/A</v>
      </c>
      <c r="Q98" s="1" t="e">
        <f t="shared" si="44"/>
        <v>#N/A</v>
      </c>
      <c r="R98" s="1" t="e">
        <f t="shared" si="45"/>
        <v>#N/A</v>
      </c>
      <c r="S98" s="1" t="e">
        <f t="shared" si="46"/>
        <v>#N/A</v>
      </c>
      <c r="T98" s="1" t="e">
        <f t="shared" si="47"/>
        <v>#N/A</v>
      </c>
      <c r="U98" s="1" t="e">
        <f t="shared" si="48"/>
        <v>#N/A</v>
      </c>
      <c r="W98" s="1" t="e">
        <f>IF(OR(Table1[[#This Row],[Type (TX, RX, TRX, Oscillator)]]="TRX",Table1[[#This Row],[Type (TX, RX, TRX, Oscillator)]]="TRX FE"),Table1[[#This Row],[Frequency (GHz)]],#N/A)</f>
        <v>#N/A</v>
      </c>
      <c r="X98" s="30" t="e">
        <f>IF(OR(Table1[[#This Row],[Type (TX, RX, TRX, Oscillator)]]="TRX", Table1[[#This Row],[Type (TX, RX, TRX, Oscillator)]]="TRX FE"),DATE(Table1[[#This Row],[Year ]],Table1[[#This Row],[Month]],1),#N/A)</f>
        <v>#N/A</v>
      </c>
      <c r="Y98" s="1" t="e">
        <f>IF(OR(Table1[[#This Row],[Type (TX, RX, TRX, Oscillator)]]="TRX", Table1[[#This Row],[Type (TX, RX, TRX, Oscillator)]]="TRX FE"),Table1[[#This Row],[Total Number of Elements (TX + RX)]],#N/A)</f>
        <v>#N/A</v>
      </c>
      <c r="Z98" s="1" t="e">
        <f t="shared" si="49"/>
        <v>#N/A</v>
      </c>
      <c r="AA98" s="1" t="e">
        <f t="shared" si="50"/>
        <v>#N/A</v>
      </c>
      <c r="AB98" s="1" t="e">
        <f t="shared" si="51"/>
        <v>#N/A</v>
      </c>
      <c r="AC98" s="1" t="e">
        <f t="shared" si="52"/>
        <v>#N/A</v>
      </c>
      <c r="AD98" s="1" t="e">
        <f t="shared" si="53"/>
        <v>#N/A</v>
      </c>
      <c r="AE98" s="1" t="e">
        <f t="shared" si="54"/>
        <v>#N/A</v>
      </c>
      <c r="AF98" s="1" t="e">
        <f t="shared" si="55"/>
        <v>#N/A</v>
      </c>
      <c r="AH98" s="1" t="e">
        <f>IF(Table1[[#This Row],[Type (TX, RX, TRX, Oscillator)]]="Oscillator",Table1[[#This Row],[Frequency (GHz)]],#N/A)</f>
        <v>#N/A</v>
      </c>
      <c r="AI98" s="30" t="e">
        <f>IF(Table1[[#This Row],[Type (TX, RX, TRX, Oscillator)]]="Oscillator",DATE(Table1[[#This Row],[Year ]],Table1[[#This Row],[Month]],1),#N/A)</f>
        <v>#N/A</v>
      </c>
      <c r="AJ98" s="1" t="e">
        <f>IF(Table1[[#This Row],[Type (TX, RX, TRX, Oscillator)]]="Oscillator",Table1[[#This Row],[Total Number of Elements (TX + RX)]],#N/A)</f>
        <v>#N/A</v>
      </c>
      <c r="AK98" s="1" t="e">
        <f t="shared" si="56"/>
        <v>#N/A</v>
      </c>
      <c r="AL98" s="1" t="e">
        <f t="shared" si="57"/>
        <v>#N/A</v>
      </c>
      <c r="AM98" s="1" t="e">
        <f t="shared" si="58"/>
        <v>#N/A</v>
      </c>
      <c r="AN98" s="1" t="e">
        <f t="shared" si="59"/>
        <v>#N/A</v>
      </c>
      <c r="AO98" s="1" t="e">
        <f t="shared" si="60"/>
        <v>#N/A</v>
      </c>
      <c r="AP98" s="1" t="e">
        <f t="shared" si="61"/>
        <v>#N/A</v>
      </c>
      <c r="AQ98" s="1" t="e">
        <f t="shared" si="62"/>
        <v>#N/A</v>
      </c>
      <c r="AS98" s="1" t="e">
        <f>IF(Table1[[#This Row],[Type (TX, RX, TRX, Oscillator)]]="Relay",Table1[[#This Row],[Frequency (GHz)]],#N/A)</f>
        <v>#N/A</v>
      </c>
      <c r="AT98" s="30" t="e">
        <f>IF(Table1[[#This Row],[Type (TX, RX, TRX, Oscillator)]]="Relay",DATE(Table1[[#This Row],[Year ]],Table1[[#This Row],[Month]],1),#N/A)</f>
        <v>#N/A</v>
      </c>
      <c r="AU98" s="1" t="e">
        <f>IF(Table1[[#This Row],[Type (TX, RX, TRX, Oscillator)]]="Relay",Table1[[#This Row],[Total Number of Elements (TX + RX)]],#N/A)</f>
        <v>#N/A</v>
      </c>
      <c r="AV98" s="1" t="e">
        <f t="shared" si="63"/>
        <v>#N/A</v>
      </c>
      <c r="AW98" s="1" t="e">
        <f t="shared" si="64"/>
        <v>#N/A</v>
      </c>
      <c r="AX98" s="1" t="e">
        <f t="shared" si="65"/>
        <v>#N/A</v>
      </c>
      <c r="AY98" s="1" t="e">
        <f t="shared" si="66"/>
        <v>#N/A</v>
      </c>
      <c r="AZ98" s="1" t="e">
        <f t="shared" si="67"/>
        <v>#N/A</v>
      </c>
      <c r="BA98" s="1" t="e">
        <f t="shared" si="68"/>
        <v>#N/A</v>
      </c>
      <c r="BB98" s="1" t="e">
        <f t="shared" si="69"/>
        <v>#N/A</v>
      </c>
    </row>
    <row r="99" spans="1:54" x14ac:dyDescent="0.2">
      <c r="A99" s="1" t="e">
        <f>IF(OR(Table1[[#This Row],[Type (TX, RX, TRX, Oscillator)]]="TX", Table1[[#This Row],[Type (TX, RX, TRX, Oscillator)]]="TX FE"),Table1[[#This Row],[Frequency (GHz)]],#N/A)</f>
        <v>#N/A</v>
      </c>
      <c r="B99" s="30" t="e">
        <f>IF(OR(Table1[[#This Row],[Type (TX, RX, TRX, Oscillator)]]="TX", Table1[[#This Row],[Type (TX, RX, TRX, Oscillator)]]="TX FE"),DATE(Table1[[#This Row],[Year ]],Table1[[#This Row],[Month]],1),#N/A)</f>
        <v>#N/A</v>
      </c>
      <c r="C99" s="1" t="e">
        <f>IF(OR(Table1[[#This Row],[Type (TX, RX, TRX, Oscillator)]]="TX",Table1[[#This Row],[Type (TX, RX, TRX, Oscillator)]]="TX FE"),Table1[[#This Row],[Total Number of Elements (TX + RX)]],#N/A)</f>
        <v>#N/A</v>
      </c>
      <c r="D99" s="1" t="e">
        <f t="shared" si="35"/>
        <v>#N/A</v>
      </c>
      <c r="E99" s="1" t="e">
        <f t="shared" si="36"/>
        <v>#N/A</v>
      </c>
      <c r="F99" s="1" t="e">
        <f t="shared" si="37"/>
        <v>#N/A</v>
      </c>
      <c r="G99" s="1" t="e">
        <f t="shared" si="38"/>
        <v>#N/A</v>
      </c>
      <c r="H99" s="1" t="e">
        <f t="shared" si="39"/>
        <v>#N/A</v>
      </c>
      <c r="I99" s="1" t="e">
        <f t="shared" si="40"/>
        <v>#N/A</v>
      </c>
      <c r="J99" s="1" t="e">
        <f t="shared" si="41"/>
        <v>#N/A</v>
      </c>
      <c r="L99" s="1" t="e">
        <f>IF(OR(Table1[[#This Row],[Type (TX, RX, TRX, Oscillator)]]="RX", Table1[[#This Row],[Type (TX, RX, TRX, Oscillator)]]="RX FE"),Table1[[#This Row],[Frequency (GHz)]],#N/A)</f>
        <v>#N/A</v>
      </c>
      <c r="M99" s="30" t="e">
        <f>IF(OR(Table1[[#This Row],[Type (TX, RX, TRX, Oscillator)]]="RX", Table1[[#This Row],[Type (TX, RX, TRX, Oscillator)]]="RX FE"),DATE(Table1[[#This Row],[Year ]],Table1[[#This Row],[Month]],1),#N/A)</f>
        <v>#N/A</v>
      </c>
      <c r="N99" s="1" t="e">
        <f>IF(OR(Table1[[#This Row],[Type (TX, RX, TRX, Oscillator)]]="RX", Table1[[#This Row],[Type (TX, RX, TRX, Oscillator)]]="RX FE"),Table1[[#This Row],[Total Number of Elements (TX + RX)]],#N/A)</f>
        <v>#N/A</v>
      </c>
      <c r="O99" s="1" t="e">
        <f t="shared" si="42"/>
        <v>#N/A</v>
      </c>
      <c r="P99" s="1" t="e">
        <f t="shared" si="43"/>
        <v>#N/A</v>
      </c>
      <c r="Q99" s="1" t="e">
        <f t="shared" si="44"/>
        <v>#N/A</v>
      </c>
      <c r="R99" s="1" t="e">
        <f t="shared" si="45"/>
        <v>#N/A</v>
      </c>
      <c r="S99" s="1" t="e">
        <f t="shared" si="46"/>
        <v>#N/A</v>
      </c>
      <c r="T99" s="1" t="e">
        <f t="shared" si="47"/>
        <v>#N/A</v>
      </c>
      <c r="U99" s="1" t="e">
        <f t="shared" si="48"/>
        <v>#N/A</v>
      </c>
      <c r="W99" s="1" t="e">
        <f>IF(OR(Table1[[#This Row],[Type (TX, RX, TRX, Oscillator)]]="TRX",Table1[[#This Row],[Type (TX, RX, TRX, Oscillator)]]="TRX FE"),Table1[[#This Row],[Frequency (GHz)]],#N/A)</f>
        <v>#N/A</v>
      </c>
      <c r="X99" s="30" t="e">
        <f>IF(OR(Table1[[#This Row],[Type (TX, RX, TRX, Oscillator)]]="TRX", Table1[[#This Row],[Type (TX, RX, TRX, Oscillator)]]="TRX FE"),DATE(Table1[[#This Row],[Year ]],Table1[[#This Row],[Month]],1),#N/A)</f>
        <v>#N/A</v>
      </c>
      <c r="Y99" s="1" t="e">
        <f>IF(OR(Table1[[#This Row],[Type (TX, RX, TRX, Oscillator)]]="TRX", Table1[[#This Row],[Type (TX, RX, TRX, Oscillator)]]="TRX FE"),Table1[[#This Row],[Total Number of Elements (TX + RX)]],#N/A)</f>
        <v>#N/A</v>
      </c>
      <c r="Z99" s="1" t="e">
        <f t="shared" si="49"/>
        <v>#N/A</v>
      </c>
      <c r="AA99" s="1" t="e">
        <f t="shared" si="50"/>
        <v>#N/A</v>
      </c>
      <c r="AB99" s="1" t="e">
        <f t="shared" si="51"/>
        <v>#N/A</v>
      </c>
      <c r="AC99" s="1" t="e">
        <f t="shared" si="52"/>
        <v>#N/A</v>
      </c>
      <c r="AD99" s="1" t="e">
        <f t="shared" si="53"/>
        <v>#N/A</v>
      </c>
      <c r="AE99" s="1" t="e">
        <f t="shared" si="54"/>
        <v>#N/A</v>
      </c>
      <c r="AF99" s="1" t="e">
        <f t="shared" si="55"/>
        <v>#N/A</v>
      </c>
      <c r="AH99" s="1" t="e">
        <f>IF(Table1[[#This Row],[Type (TX, RX, TRX, Oscillator)]]="Oscillator",Table1[[#This Row],[Frequency (GHz)]],#N/A)</f>
        <v>#N/A</v>
      </c>
      <c r="AI99" s="30" t="e">
        <f>IF(Table1[[#This Row],[Type (TX, RX, TRX, Oscillator)]]="Oscillator",DATE(Table1[[#This Row],[Year ]],Table1[[#This Row],[Month]],1),#N/A)</f>
        <v>#N/A</v>
      </c>
      <c r="AJ99" s="1" t="e">
        <f>IF(Table1[[#This Row],[Type (TX, RX, TRX, Oscillator)]]="Oscillator",Table1[[#This Row],[Total Number of Elements (TX + RX)]],#N/A)</f>
        <v>#N/A</v>
      </c>
      <c r="AK99" s="1" t="e">
        <f t="shared" si="56"/>
        <v>#N/A</v>
      </c>
      <c r="AL99" s="1" t="e">
        <f t="shared" si="57"/>
        <v>#N/A</v>
      </c>
      <c r="AM99" s="1" t="e">
        <f t="shared" si="58"/>
        <v>#N/A</v>
      </c>
      <c r="AN99" s="1" t="e">
        <f t="shared" si="59"/>
        <v>#N/A</v>
      </c>
      <c r="AO99" s="1" t="e">
        <f t="shared" si="60"/>
        <v>#N/A</v>
      </c>
      <c r="AP99" s="1" t="e">
        <f t="shared" si="61"/>
        <v>#N/A</v>
      </c>
      <c r="AQ99" s="1" t="e">
        <f t="shared" si="62"/>
        <v>#N/A</v>
      </c>
      <c r="AS99" s="1">
        <f>IF(Table1[[#This Row],[Type (TX, RX, TRX, Oscillator)]]="Relay",Table1[[#This Row],[Frequency (GHz)]],#N/A)</f>
        <v>260</v>
      </c>
      <c r="AT99" s="30">
        <f>IF(Table1[[#This Row],[Type (TX, RX, TRX, Oscillator)]]="Relay",DATE(Table1[[#This Row],[Year ]],Table1[[#This Row],[Month]],1),#N/A)</f>
        <v>44593</v>
      </c>
      <c r="AU99" s="1">
        <f>IF(Table1[[#This Row],[Type (TX, RX, TRX, Oscillator)]]="Relay",Table1[[#This Row],[Total Number of Elements (TX + RX)]],#N/A)</f>
        <v>19208</v>
      </c>
      <c r="AV99" s="1" t="e">
        <f t="shared" si="63"/>
        <v>#N/A</v>
      </c>
      <c r="AW99" s="1" t="e">
        <f t="shared" si="64"/>
        <v>#N/A</v>
      </c>
      <c r="AX99" s="1" t="e">
        <f t="shared" si="65"/>
        <v>#N/A</v>
      </c>
      <c r="AY99" s="1" t="e">
        <f t="shared" si="66"/>
        <v>#N/A</v>
      </c>
      <c r="AZ99" s="1" t="e">
        <f t="shared" si="67"/>
        <v>#N/A</v>
      </c>
      <c r="BA99" s="1" t="e">
        <f t="shared" si="68"/>
        <v>#N/A</v>
      </c>
      <c r="BB99" s="1">
        <f t="shared" si="69"/>
        <v>19208</v>
      </c>
    </row>
    <row r="100" spans="1:54" x14ac:dyDescent="0.2">
      <c r="A100" s="1">
        <f>IF(OR(Table1[[#This Row],[Type (TX, RX, TRX, Oscillator)]]="TX", Table1[[#This Row],[Type (TX, RX, TRX, Oscillator)]]="TX FE"),Table1[[#This Row],[Frequency (GHz)]],#N/A)</f>
        <v>140</v>
      </c>
      <c r="B100" s="30">
        <f>IF(OR(Table1[[#This Row],[Type (TX, RX, TRX, Oscillator)]]="TX", Table1[[#This Row],[Type (TX, RX, TRX, Oscillator)]]="TX FE"),DATE(Table1[[#This Row],[Year ]],Table1[[#This Row],[Month]],1),#N/A)</f>
        <v>44593</v>
      </c>
      <c r="C100" s="1">
        <f>IF(OR(Table1[[#This Row],[Type (TX, RX, TRX, Oscillator)]]="TX",Table1[[#This Row],[Type (TX, RX, TRX, Oscillator)]]="TX FE"),Table1[[#This Row],[Total Number of Elements (TX + RX)]],#N/A)</f>
        <v>256</v>
      </c>
      <c r="D100" s="1" t="e">
        <f t="shared" si="35"/>
        <v>#N/A</v>
      </c>
      <c r="E100" s="1" t="e">
        <f t="shared" si="36"/>
        <v>#N/A</v>
      </c>
      <c r="F100" s="1" t="e">
        <f t="shared" si="37"/>
        <v>#N/A</v>
      </c>
      <c r="G100" s="1" t="e">
        <f t="shared" si="38"/>
        <v>#N/A</v>
      </c>
      <c r="H100" s="1">
        <f t="shared" si="39"/>
        <v>256</v>
      </c>
      <c r="I100" s="1" t="e">
        <f t="shared" si="40"/>
        <v>#N/A</v>
      </c>
      <c r="J100" s="1" t="e">
        <f t="shared" si="41"/>
        <v>#N/A</v>
      </c>
      <c r="L100" s="1" t="e">
        <f>IF(OR(Table1[[#This Row],[Type (TX, RX, TRX, Oscillator)]]="RX", Table1[[#This Row],[Type (TX, RX, TRX, Oscillator)]]="RX FE"),Table1[[#This Row],[Frequency (GHz)]],#N/A)</f>
        <v>#N/A</v>
      </c>
      <c r="M100" s="30" t="e">
        <f>IF(OR(Table1[[#This Row],[Type (TX, RX, TRX, Oscillator)]]="RX", Table1[[#This Row],[Type (TX, RX, TRX, Oscillator)]]="RX FE"),DATE(Table1[[#This Row],[Year ]],Table1[[#This Row],[Month]],1),#N/A)</f>
        <v>#N/A</v>
      </c>
      <c r="N100" s="1" t="e">
        <f>IF(OR(Table1[[#This Row],[Type (TX, RX, TRX, Oscillator)]]="RX", Table1[[#This Row],[Type (TX, RX, TRX, Oscillator)]]="RX FE"),Table1[[#This Row],[Total Number of Elements (TX + RX)]],#N/A)</f>
        <v>#N/A</v>
      </c>
      <c r="O100" s="1" t="e">
        <f t="shared" si="42"/>
        <v>#N/A</v>
      </c>
      <c r="P100" s="1" t="e">
        <f t="shared" si="43"/>
        <v>#N/A</v>
      </c>
      <c r="Q100" s="1" t="e">
        <f t="shared" si="44"/>
        <v>#N/A</v>
      </c>
      <c r="R100" s="1" t="e">
        <f t="shared" si="45"/>
        <v>#N/A</v>
      </c>
      <c r="S100" s="1" t="e">
        <f t="shared" si="46"/>
        <v>#N/A</v>
      </c>
      <c r="T100" s="1" t="e">
        <f t="shared" si="47"/>
        <v>#N/A</v>
      </c>
      <c r="U100" s="1" t="e">
        <f t="shared" si="48"/>
        <v>#N/A</v>
      </c>
      <c r="W100" s="1" t="e">
        <f>IF(OR(Table1[[#This Row],[Type (TX, RX, TRX, Oscillator)]]="TRX",Table1[[#This Row],[Type (TX, RX, TRX, Oscillator)]]="TRX FE"),Table1[[#This Row],[Frequency (GHz)]],#N/A)</f>
        <v>#N/A</v>
      </c>
      <c r="X100" s="30" t="e">
        <f>IF(OR(Table1[[#This Row],[Type (TX, RX, TRX, Oscillator)]]="TRX", Table1[[#This Row],[Type (TX, RX, TRX, Oscillator)]]="TRX FE"),DATE(Table1[[#This Row],[Year ]],Table1[[#This Row],[Month]],1),#N/A)</f>
        <v>#N/A</v>
      </c>
      <c r="Y100" s="1" t="e">
        <f>IF(OR(Table1[[#This Row],[Type (TX, RX, TRX, Oscillator)]]="TRX", Table1[[#This Row],[Type (TX, RX, TRX, Oscillator)]]="TRX FE"),Table1[[#This Row],[Total Number of Elements (TX + RX)]],#N/A)</f>
        <v>#N/A</v>
      </c>
      <c r="Z100" s="1" t="e">
        <f t="shared" si="49"/>
        <v>#N/A</v>
      </c>
      <c r="AA100" s="1" t="e">
        <f t="shared" si="50"/>
        <v>#N/A</v>
      </c>
      <c r="AB100" s="1" t="e">
        <f t="shared" si="51"/>
        <v>#N/A</v>
      </c>
      <c r="AC100" s="1" t="e">
        <f t="shared" si="52"/>
        <v>#N/A</v>
      </c>
      <c r="AD100" s="1" t="e">
        <f t="shared" si="53"/>
        <v>#N/A</v>
      </c>
      <c r="AE100" s="1" t="e">
        <f t="shared" si="54"/>
        <v>#N/A</v>
      </c>
      <c r="AF100" s="1" t="e">
        <f t="shared" si="55"/>
        <v>#N/A</v>
      </c>
      <c r="AH100" s="1" t="e">
        <f>IF(Table1[[#This Row],[Type (TX, RX, TRX, Oscillator)]]="Oscillator",Table1[[#This Row],[Frequency (GHz)]],#N/A)</f>
        <v>#N/A</v>
      </c>
      <c r="AI100" s="30" t="e">
        <f>IF(Table1[[#This Row],[Type (TX, RX, TRX, Oscillator)]]="Oscillator",DATE(Table1[[#This Row],[Year ]],Table1[[#This Row],[Month]],1),#N/A)</f>
        <v>#N/A</v>
      </c>
      <c r="AJ100" s="1" t="e">
        <f>IF(Table1[[#This Row],[Type (TX, RX, TRX, Oscillator)]]="Oscillator",Table1[[#This Row],[Total Number of Elements (TX + RX)]],#N/A)</f>
        <v>#N/A</v>
      </c>
      <c r="AK100" s="1" t="e">
        <f t="shared" si="56"/>
        <v>#N/A</v>
      </c>
      <c r="AL100" s="1" t="e">
        <f t="shared" si="57"/>
        <v>#N/A</v>
      </c>
      <c r="AM100" s="1" t="e">
        <f t="shared" si="58"/>
        <v>#N/A</v>
      </c>
      <c r="AN100" s="1" t="e">
        <f t="shared" si="59"/>
        <v>#N/A</v>
      </c>
      <c r="AO100" s="1" t="e">
        <f t="shared" si="60"/>
        <v>#N/A</v>
      </c>
      <c r="AP100" s="1" t="e">
        <f t="shared" si="61"/>
        <v>#N/A</v>
      </c>
      <c r="AQ100" s="1" t="e">
        <f t="shared" si="62"/>
        <v>#N/A</v>
      </c>
      <c r="AS100" s="1" t="e">
        <f>IF(Table1[[#This Row],[Type (TX, RX, TRX, Oscillator)]]="Relay",Table1[[#This Row],[Frequency (GHz)]],#N/A)</f>
        <v>#N/A</v>
      </c>
      <c r="AT100" s="30" t="e">
        <f>IF(Table1[[#This Row],[Type (TX, RX, TRX, Oscillator)]]="Relay",DATE(Table1[[#This Row],[Year ]],Table1[[#This Row],[Month]],1),#N/A)</f>
        <v>#N/A</v>
      </c>
      <c r="AU100" s="1" t="e">
        <f>IF(Table1[[#This Row],[Type (TX, RX, TRX, Oscillator)]]="Relay",Table1[[#This Row],[Total Number of Elements (TX + RX)]],#N/A)</f>
        <v>#N/A</v>
      </c>
      <c r="AV100" s="1" t="e">
        <f t="shared" si="63"/>
        <v>#N/A</v>
      </c>
      <c r="AW100" s="1" t="e">
        <f t="shared" si="64"/>
        <v>#N/A</v>
      </c>
      <c r="AX100" s="1" t="e">
        <f t="shared" si="65"/>
        <v>#N/A</v>
      </c>
      <c r="AY100" s="1" t="e">
        <f t="shared" si="66"/>
        <v>#N/A</v>
      </c>
      <c r="AZ100" s="1" t="e">
        <f t="shared" si="67"/>
        <v>#N/A</v>
      </c>
      <c r="BA100" s="1" t="e">
        <f t="shared" si="68"/>
        <v>#N/A</v>
      </c>
      <c r="BB100" s="1" t="e">
        <f t="shared" si="69"/>
        <v>#N/A</v>
      </c>
    </row>
    <row r="101" spans="1:54" x14ac:dyDescent="0.2">
      <c r="A101" s="1" t="e">
        <f>IF(OR(Table1[[#This Row],[Type (TX, RX, TRX, Oscillator)]]="TX", Table1[[#This Row],[Type (TX, RX, TRX, Oscillator)]]="TX FE"),Table1[[#This Row],[Frequency (GHz)]],#N/A)</f>
        <v>#N/A</v>
      </c>
      <c r="B101" s="30" t="e">
        <f>IF(OR(Table1[[#This Row],[Type (TX, RX, TRX, Oscillator)]]="TX", Table1[[#This Row],[Type (TX, RX, TRX, Oscillator)]]="TX FE"),DATE(Table1[[#This Row],[Year ]],Table1[[#This Row],[Month]],1),#N/A)</f>
        <v>#N/A</v>
      </c>
      <c r="C101" s="1" t="e">
        <f>IF(OR(Table1[[#This Row],[Type (TX, RX, TRX, Oscillator)]]="TX",Table1[[#This Row],[Type (TX, RX, TRX, Oscillator)]]="TX FE"),Table1[[#This Row],[Total Number of Elements (TX + RX)]],#N/A)</f>
        <v>#N/A</v>
      </c>
      <c r="D101" s="1" t="e">
        <f t="shared" si="35"/>
        <v>#N/A</v>
      </c>
      <c r="E101" s="1" t="e">
        <f t="shared" si="36"/>
        <v>#N/A</v>
      </c>
      <c r="F101" s="1" t="e">
        <f t="shared" si="37"/>
        <v>#N/A</v>
      </c>
      <c r="G101" s="1" t="e">
        <f t="shared" si="38"/>
        <v>#N/A</v>
      </c>
      <c r="H101" s="1" t="e">
        <f t="shared" si="39"/>
        <v>#N/A</v>
      </c>
      <c r="I101" s="1" t="e">
        <f t="shared" si="40"/>
        <v>#N/A</v>
      </c>
      <c r="J101" s="1" t="e">
        <f t="shared" si="41"/>
        <v>#N/A</v>
      </c>
      <c r="L101" s="1">
        <f>IF(OR(Table1[[#This Row],[Type (TX, RX, TRX, Oscillator)]]="RX", Table1[[#This Row],[Type (TX, RX, TRX, Oscillator)]]="RX FE"),Table1[[#This Row],[Frequency (GHz)]],#N/A)</f>
        <v>140</v>
      </c>
      <c r="M101" s="30">
        <f>IF(OR(Table1[[#This Row],[Type (TX, RX, TRX, Oscillator)]]="RX", Table1[[#This Row],[Type (TX, RX, TRX, Oscillator)]]="RX FE"),DATE(Table1[[#This Row],[Year ]],Table1[[#This Row],[Month]],1),#N/A)</f>
        <v>44593</v>
      </c>
      <c r="N101" s="1">
        <f>IF(OR(Table1[[#This Row],[Type (TX, RX, TRX, Oscillator)]]="RX", Table1[[#This Row],[Type (TX, RX, TRX, Oscillator)]]="RX FE"),Table1[[#This Row],[Total Number of Elements (TX + RX)]],#N/A)</f>
        <v>256</v>
      </c>
      <c r="O101" s="1" t="e">
        <f t="shared" si="42"/>
        <v>#N/A</v>
      </c>
      <c r="P101" s="1" t="e">
        <f t="shared" si="43"/>
        <v>#N/A</v>
      </c>
      <c r="Q101" s="1" t="e">
        <f t="shared" si="44"/>
        <v>#N/A</v>
      </c>
      <c r="R101" s="1" t="e">
        <f t="shared" si="45"/>
        <v>#N/A</v>
      </c>
      <c r="S101" s="1">
        <f t="shared" si="46"/>
        <v>256</v>
      </c>
      <c r="T101" s="1" t="e">
        <f t="shared" si="47"/>
        <v>#N/A</v>
      </c>
      <c r="U101" s="1" t="e">
        <f t="shared" si="48"/>
        <v>#N/A</v>
      </c>
      <c r="W101" s="1" t="e">
        <f>IF(OR(Table1[[#This Row],[Type (TX, RX, TRX, Oscillator)]]="TRX",Table1[[#This Row],[Type (TX, RX, TRX, Oscillator)]]="TRX FE"),Table1[[#This Row],[Frequency (GHz)]],#N/A)</f>
        <v>#N/A</v>
      </c>
      <c r="X101" s="30" t="e">
        <f>IF(OR(Table1[[#This Row],[Type (TX, RX, TRX, Oscillator)]]="TRX", Table1[[#This Row],[Type (TX, RX, TRX, Oscillator)]]="TRX FE"),DATE(Table1[[#This Row],[Year ]],Table1[[#This Row],[Month]],1),#N/A)</f>
        <v>#N/A</v>
      </c>
      <c r="Y101" s="1" t="e">
        <f>IF(OR(Table1[[#This Row],[Type (TX, RX, TRX, Oscillator)]]="TRX", Table1[[#This Row],[Type (TX, RX, TRX, Oscillator)]]="TRX FE"),Table1[[#This Row],[Total Number of Elements (TX + RX)]],#N/A)</f>
        <v>#N/A</v>
      </c>
      <c r="Z101" s="1" t="e">
        <f t="shared" si="49"/>
        <v>#N/A</v>
      </c>
      <c r="AA101" s="1" t="e">
        <f t="shared" si="50"/>
        <v>#N/A</v>
      </c>
      <c r="AB101" s="1" t="e">
        <f t="shared" si="51"/>
        <v>#N/A</v>
      </c>
      <c r="AC101" s="1" t="e">
        <f t="shared" si="52"/>
        <v>#N/A</v>
      </c>
      <c r="AD101" s="1" t="e">
        <f t="shared" si="53"/>
        <v>#N/A</v>
      </c>
      <c r="AE101" s="1" t="e">
        <f t="shared" si="54"/>
        <v>#N/A</v>
      </c>
      <c r="AF101" s="1" t="e">
        <f t="shared" si="55"/>
        <v>#N/A</v>
      </c>
      <c r="AH101" s="1" t="e">
        <f>IF(Table1[[#This Row],[Type (TX, RX, TRX, Oscillator)]]="Oscillator",Table1[[#This Row],[Frequency (GHz)]],#N/A)</f>
        <v>#N/A</v>
      </c>
      <c r="AI101" s="30" t="e">
        <f>IF(Table1[[#This Row],[Type (TX, RX, TRX, Oscillator)]]="Oscillator",DATE(Table1[[#This Row],[Year ]],Table1[[#This Row],[Month]],1),#N/A)</f>
        <v>#N/A</v>
      </c>
      <c r="AJ101" s="1" t="e">
        <f>IF(Table1[[#This Row],[Type (TX, RX, TRX, Oscillator)]]="Oscillator",Table1[[#This Row],[Total Number of Elements (TX + RX)]],#N/A)</f>
        <v>#N/A</v>
      </c>
      <c r="AK101" s="1" t="e">
        <f t="shared" si="56"/>
        <v>#N/A</v>
      </c>
      <c r="AL101" s="1" t="e">
        <f t="shared" si="57"/>
        <v>#N/A</v>
      </c>
      <c r="AM101" s="1" t="e">
        <f t="shared" si="58"/>
        <v>#N/A</v>
      </c>
      <c r="AN101" s="1" t="e">
        <f t="shared" si="59"/>
        <v>#N/A</v>
      </c>
      <c r="AO101" s="1" t="e">
        <f t="shared" si="60"/>
        <v>#N/A</v>
      </c>
      <c r="AP101" s="1" t="e">
        <f t="shared" si="61"/>
        <v>#N/A</v>
      </c>
      <c r="AQ101" s="1" t="e">
        <f t="shared" si="62"/>
        <v>#N/A</v>
      </c>
      <c r="AS101" s="1" t="e">
        <f>IF(Table1[[#This Row],[Type (TX, RX, TRX, Oscillator)]]="Relay",Table1[[#This Row],[Frequency (GHz)]],#N/A)</f>
        <v>#N/A</v>
      </c>
      <c r="AT101" s="30" t="e">
        <f>IF(Table1[[#This Row],[Type (TX, RX, TRX, Oscillator)]]="Relay",DATE(Table1[[#This Row],[Year ]],Table1[[#This Row],[Month]],1),#N/A)</f>
        <v>#N/A</v>
      </c>
      <c r="AU101" s="1" t="e">
        <f>IF(Table1[[#This Row],[Type (TX, RX, TRX, Oscillator)]]="Relay",Table1[[#This Row],[Total Number of Elements (TX + RX)]],#N/A)</f>
        <v>#N/A</v>
      </c>
      <c r="AV101" s="1" t="e">
        <f t="shared" si="63"/>
        <v>#N/A</v>
      </c>
      <c r="AW101" s="1" t="e">
        <f t="shared" si="64"/>
        <v>#N/A</v>
      </c>
      <c r="AX101" s="1" t="e">
        <f t="shared" si="65"/>
        <v>#N/A</v>
      </c>
      <c r="AY101" s="1" t="e">
        <f t="shared" si="66"/>
        <v>#N/A</v>
      </c>
      <c r="AZ101" s="1" t="e">
        <f t="shared" si="67"/>
        <v>#N/A</v>
      </c>
      <c r="BA101" s="1" t="e">
        <f t="shared" si="68"/>
        <v>#N/A</v>
      </c>
      <c r="BB101" s="1" t="e">
        <f t="shared" si="69"/>
        <v>#N/A</v>
      </c>
    </row>
    <row r="102" spans="1:54" x14ac:dyDescent="0.2">
      <c r="A102" s="1" t="e">
        <f>IF(OR(Table1[[#This Row],[Type (TX, RX, TRX, Oscillator)]]="TX", Table1[[#This Row],[Type (TX, RX, TRX, Oscillator)]]="TX FE"),Table1[[#This Row],[Frequency (GHz)]],#N/A)</f>
        <v>#N/A</v>
      </c>
      <c r="B102" s="30" t="e">
        <f>IF(OR(Table1[[#This Row],[Type (TX, RX, TRX, Oscillator)]]="TX", Table1[[#This Row],[Type (TX, RX, TRX, Oscillator)]]="TX FE"),DATE(Table1[[#This Row],[Year ]],Table1[[#This Row],[Month]],1),#N/A)</f>
        <v>#N/A</v>
      </c>
      <c r="C102" s="1" t="e">
        <f>IF(OR(Table1[[#This Row],[Type (TX, RX, TRX, Oscillator)]]="TX",Table1[[#This Row],[Type (TX, RX, TRX, Oscillator)]]="TX FE"),Table1[[#This Row],[Total Number of Elements (TX + RX)]],#N/A)</f>
        <v>#N/A</v>
      </c>
      <c r="D102" s="1" t="e">
        <f t="shared" si="35"/>
        <v>#N/A</v>
      </c>
      <c r="E102" s="1" t="e">
        <f t="shared" si="36"/>
        <v>#N/A</v>
      </c>
      <c r="F102" s="1" t="e">
        <f t="shared" si="37"/>
        <v>#N/A</v>
      </c>
      <c r="G102" s="1" t="e">
        <f t="shared" si="38"/>
        <v>#N/A</v>
      </c>
      <c r="H102" s="1" t="e">
        <f t="shared" si="39"/>
        <v>#N/A</v>
      </c>
      <c r="I102" s="1" t="e">
        <f t="shared" si="40"/>
        <v>#N/A</v>
      </c>
      <c r="J102" s="1" t="e">
        <f t="shared" si="41"/>
        <v>#N/A</v>
      </c>
      <c r="L102" s="1" t="e">
        <f>IF(OR(Table1[[#This Row],[Type (TX, RX, TRX, Oscillator)]]="RX", Table1[[#This Row],[Type (TX, RX, TRX, Oscillator)]]="RX FE"),Table1[[#This Row],[Frequency (GHz)]],#N/A)</f>
        <v>#N/A</v>
      </c>
      <c r="M102" s="30" t="e">
        <f>IF(OR(Table1[[#This Row],[Type (TX, RX, TRX, Oscillator)]]="RX", Table1[[#This Row],[Type (TX, RX, TRX, Oscillator)]]="RX FE"),DATE(Table1[[#This Row],[Year ]],Table1[[#This Row],[Month]],1),#N/A)</f>
        <v>#N/A</v>
      </c>
      <c r="N102" s="1" t="e">
        <f>IF(OR(Table1[[#This Row],[Type (TX, RX, TRX, Oscillator)]]="RX", Table1[[#This Row],[Type (TX, RX, TRX, Oscillator)]]="RX FE"),Table1[[#This Row],[Total Number of Elements (TX + RX)]],#N/A)</f>
        <v>#N/A</v>
      </c>
      <c r="O102" s="1" t="e">
        <f t="shared" si="42"/>
        <v>#N/A</v>
      </c>
      <c r="P102" s="1" t="e">
        <f t="shared" si="43"/>
        <v>#N/A</v>
      </c>
      <c r="Q102" s="1" t="e">
        <f t="shared" si="44"/>
        <v>#N/A</v>
      </c>
      <c r="R102" s="1" t="e">
        <f t="shared" si="45"/>
        <v>#N/A</v>
      </c>
      <c r="S102" s="1" t="e">
        <f t="shared" si="46"/>
        <v>#N/A</v>
      </c>
      <c r="T102" s="1" t="e">
        <f t="shared" si="47"/>
        <v>#N/A</v>
      </c>
      <c r="U102" s="1" t="e">
        <f t="shared" si="48"/>
        <v>#N/A</v>
      </c>
      <c r="W102" s="1">
        <f>IF(OR(Table1[[#This Row],[Type (TX, RX, TRX, Oscillator)]]="TRX",Table1[[#This Row],[Type (TX, RX, TRX, Oscillator)]]="TRX FE"),Table1[[#This Row],[Frequency (GHz)]],#N/A)</f>
        <v>27</v>
      </c>
      <c r="X102" s="30">
        <f>IF(OR(Table1[[#This Row],[Type (TX, RX, TRX, Oscillator)]]="TRX", Table1[[#This Row],[Type (TX, RX, TRX, Oscillator)]]="TRX FE"),DATE(Table1[[#This Row],[Year ]],Table1[[#This Row],[Month]],1),#N/A)</f>
        <v>44682</v>
      </c>
      <c r="Y102" s="1">
        <f>IF(OR(Table1[[#This Row],[Type (TX, RX, TRX, Oscillator)]]="TRX", Table1[[#This Row],[Type (TX, RX, TRX, Oscillator)]]="TRX FE"),Table1[[#This Row],[Total Number of Elements (TX + RX)]],#N/A)</f>
        <v>8</v>
      </c>
      <c r="Z102" s="1" t="e">
        <f t="shared" si="49"/>
        <v>#N/A</v>
      </c>
      <c r="AA102" s="1">
        <f t="shared" si="50"/>
        <v>8</v>
      </c>
      <c r="AB102" s="1" t="e">
        <f t="shared" si="51"/>
        <v>#N/A</v>
      </c>
      <c r="AC102" s="1" t="e">
        <f t="shared" si="52"/>
        <v>#N/A</v>
      </c>
      <c r="AD102" s="1" t="e">
        <f t="shared" si="53"/>
        <v>#N/A</v>
      </c>
      <c r="AE102" s="1" t="e">
        <f t="shared" si="54"/>
        <v>#N/A</v>
      </c>
      <c r="AF102" s="1" t="e">
        <f t="shared" si="55"/>
        <v>#N/A</v>
      </c>
      <c r="AH102" s="1" t="e">
        <f>IF(Table1[[#This Row],[Type (TX, RX, TRX, Oscillator)]]="Oscillator",Table1[[#This Row],[Frequency (GHz)]],#N/A)</f>
        <v>#N/A</v>
      </c>
      <c r="AI102" s="30" t="e">
        <f>IF(Table1[[#This Row],[Type (TX, RX, TRX, Oscillator)]]="Oscillator",DATE(Table1[[#This Row],[Year ]],Table1[[#This Row],[Month]],1),#N/A)</f>
        <v>#N/A</v>
      </c>
      <c r="AJ102" s="1" t="e">
        <f>IF(Table1[[#This Row],[Type (TX, RX, TRX, Oscillator)]]="Oscillator",Table1[[#This Row],[Total Number of Elements (TX + RX)]],#N/A)</f>
        <v>#N/A</v>
      </c>
      <c r="AK102" s="1" t="e">
        <f t="shared" si="56"/>
        <v>#N/A</v>
      </c>
      <c r="AL102" s="1" t="e">
        <f t="shared" si="57"/>
        <v>#N/A</v>
      </c>
      <c r="AM102" s="1" t="e">
        <f t="shared" si="58"/>
        <v>#N/A</v>
      </c>
      <c r="AN102" s="1" t="e">
        <f t="shared" si="59"/>
        <v>#N/A</v>
      </c>
      <c r="AO102" s="1" t="e">
        <f t="shared" si="60"/>
        <v>#N/A</v>
      </c>
      <c r="AP102" s="1" t="e">
        <f t="shared" si="61"/>
        <v>#N/A</v>
      </c>
      <c r="AQ102" s="1" t="e">
        <f t="shared" si="62"/>
        <v>#N/A</v>
      </c>
      <c r="AS102" s="1" t="e">
        <f>IF(Table1[[#This Row],[Type (TX, RX, TRX, Oscillator)]]="Relay",Table1[[#This Row],[Frequency (GHz)]],#N/A)</f>
        <v>#N/A</v>
      </c>
      <c r="AT102" s="30" t="e">
        <f>IF(Table1[[#This Row],[Type (TX, RX, TRX, Oscillator)]]="Relay",DATE(Table1[[#This Row],[Year ]],Table1[[#This Row],[Month]],1),#N/A)</f>
        <v>#N/A</v>
      </c>
      <c r="AU102" s="1" t="e">
        <f>IF(Table1[[#This Row],[Type (TX, RX, TRX, Oscillator)]]="Relay",Table1[[#This Row],[Total Number of Elements (TX + RX)]],#N/A)</f>
        <v>#N/A</v>
      </c>
      <c r="AV102" s="1" t="e">
        <f t="shared" si="63"/>
        <v>#N/A</v>
      </c>
      <c r="AW102" s="1" t="e">
        <f t="shared" si="64"/>
        <v>#N/A</v>
      </c>
      <c r="AX102" s="1" t="e">
        <f t="shared" si="65"/>
        <v>#N/A</v>
      </c>
      <c r="AY102" s="1" t="e">
        <f t="shared" si="66"/>
        <v>#N/A</v>
      </c>
      <c r="AZ102" s="1" t="e">
        <f t="shared" si="67"/>
        <v>#N/A</v>
      </c>
      <c r="BA102" s="1" t="e">
        <f t="shared" si="68"/>
        <v>#N/A</v>
      </c>
      <c r="BB102" s="1" t="e">
        <f t="shared" si="69"/>
        <v>#N/A</v>
      </c>
    </row>
    <row r="103" spans="1:54" x14ac:dyDescent="0.2">
      <c r="A103" s="1" t="e">
        <f>IF(OR(Table1[[#This Row],[Type (TX, RX, TRX, Oscillator)]]="TX", Table1[[#This Row],[Type (TX, RX, TRX, Oscillator)]]="TX FE"),Table1[[#This Row],[Frequency (GHz)]],#N/A)</f>
        <v>#N/A</v>
      </c>
      <c r="B103" s="30" t="e">
        <f>IF(OR(Table1[[#This Row],[Type (TX, RX, TRX, Oscillator)]]="TX", Table1[[#This Row],[Type (TX, RX, TRX, Oscillator)]]="TX FE"),DATE(Table1[[#This Row],[Year ]],Table1[[#This Row],[Month]],1),#N/A)</f>
        <v>#N/A</v>
      </c>
      <c r="C103" s="1" t="e">
        <f>IF(OR(Table1[[#This Row],[Type (TX, RX, TRX, Oscillator)]]="TX",Table1[[#This Row],[Type (TX, RX, TRX, Oscillator)]]="TX FE"),Table1[[#This Row],[Total Number of Elements (TX + RX)]],#N/A)</f>
        <v>#N/A</v>
      </c>
      <c r="D103" s="1" t="e">
        <f t="shared" si="35"/>
        <v>#N/A</v>
      </c>
      <c r="E103" s="1" t="e">
        <f t="shared" si="36"/>
        <v>#N/A</v>
      </c>
      <c r="F103" s="1" t="e">
        <f t="shared" si="37"/>
        <v>#N/A</v>
      </c>
      <c r="G103" s="1" t="e">
        <f t="shared" si="38"/>
        <v>#N/A</v>
      </c>
      <c r="H103" s="1" t="e">
        <f t="shared" si="39"/>
        <v>#N/A</v>
      </c>
      <c r="I103" s="1" t="e">
        <f t="shared" si="40"/>
        <v>#N/A</v>
      </c>
      <c r="J103" s="1" t="e">
        <f t="shared" si="41"/>
        <v>#N/A</v>
      </c>
      <c r="L103" s="1" t="e">
        <f>IF(OR(Table1[[#This Row],[Type (TX, RX, TRX, Oscillator)]]="RX", Table1[[#This Row],[Type (TX, RX, TRX, Oscillator)]]="RX FE"),Table1[[#This Row],[Frequency (GHz)]],#N/A)</f>
        <v>#N/A</v>
      </c>
      <c r="M103" s="30" t="e">
        <f>IF(OR(Table1[[#This Row],[Type (TX, RX, TRX, Oscillator)]]="RX", Table1[[#This Row],[Type (TX, RX, TRX, Oscillator)]]="RX FE"),DATE(Table1[[#This Row],[Year ]],Table1[[#This Row],[Month]],1),#N/A)</f>
        <v>#N/A</v>
      </c>
      <c r="N103" s="1" t="e">
        <f>IF(OR(Table1[[#This Row],[Type (TX, RX, TRX, Oscillator)]]="RX", Table1[[#This Row],[Type (TX, RX, TRX, Oscillator)]]="RX FE"),Table1[[#This Row],[Total Number of Elements (TX + RX)]],#N/A)</f>
        <v>#N/A</v>
      </c>
      <c r="O103" s="1" t="e">
        <f t="shared" si="42"/>
        <v>#N/A</v>
      </c>
      <c r="P103" s="1" t="e">
        <f t="shared" si="43"/>
        <v>#N/A</v>
      </c>
      <c r="Q103" s="1" t="e">
        <f t="shared" si="44"/>
        <v>#N/A</v>
      </c>
      <c r="R103" s="1" t="e">
        <f t="shared" si="45"/>
        <v>#N/A</v>
      </c>
      <c r="S103" s="1" t="e">
        <f t="shared" si="46"/>
        <v>#N/A</v>
      </c>
      <c r="T103" s="1" t="e">
        <f t="shared" si="47"/>
        <v>#N/A</v>
      </c>
      <c r="U103" s="1" t="e">
        <f t="shared" si="48"/>
        <v>#N/A</v>
      </c>
      <c r="W103" s="1" t="e">
        <f>IF(OR(Table1[[#This Row],[Type (TX, RX, TRX, Oscillator)]]="TRX",Table1[[#This Row],[Type (TX, RX, TRX, Oscillator)]]="TRX FE"),Table1[[#This Row],[Frequency (GHz)]],#N/A)</f>
        <v>#N/A</v>
      </c>
      <c r="X103" s="30" t="e">
        <f>IF(OR(Table1[[#This Row],[Type (TX, RX, TRX, Oscillator)]]="TRX", Table1[[#This Row],[Type (TX, RX, TRX, Oscillator)]]="TRX FE"),DATE(Table1[[#This Row],[Year ]],Table1[[#This Row],[Month]],1),#N/A)</f>
        <v>#N/A</v>
      </c>
      <c r="Y103" s="1" t="e">
        <f>IF(OR(Table1[[#This Row],[Type (TX, RX, TRX, Oscillator)]]="TRX", Table1[[#This Row],[Type (TX, RX, TRX, Oscillator)]]="TRX FE"),Table1[[#This Row],[Total Number of Elements (TX + RX)]],#N/A)</f>
        <v>#N/A</v>
      </c>
      <c r="Z103" s="1" t="e">
        <f t="shared" si="49"/>
        <v>#N/A</v>
      </c>
      <c r="AA103" s="1" t="e">
        <f t="shared" si="50"/>
        <v>#N/A</v>
      </c>
      <c r="AB103" s="1" t="e">
        <f t="shared" si="51"/>
        <v>#N/A</v>
      </c>
      <c r="AC103" s="1" t="e">
        <f t="shared" si="52"/>
        <v>#N/A</v>
      </c>
      <c r="AD103" s="1" t="e">
        <f t="shared" si="53"/>
        <v>#N/A</v>
      </c>
      <c r="AE103" s="1" t="e">
        <f t="shared" si="54"/>
        <v>#N/A</v>
      </c>
      <c r="AF103" s="1" t="e">
        <f t="shared" si="55"/>
        <v>#N/A</v>
      </c>
      <c r="AH103" s="1">
        <f>IF(Table1[[#This Row],[Type (TX, RX, TRX, Oscillator)]]="Oscillator",Table1[[#This Row],[Frequency (GHz)]],#N/A)</f>
        <v>694</v>
      </c>
      <c r="AI103" s="30">
        <f>IF(Table1[[#This Row],[Type (TX, RX, TRX, Oscillator)]]="Oscillator",DATE(Table1[[#This Row],[Year ]],Table1[[#This Row],[Month]],1),#N/A)</f>
        <v>44713</v>
      </c>
      <c r="AJ103" s="1">
        <f>IF(Table1[[#This Row],[Type (TX, RX, TRX, Oscillator)]]="Oscillator",Table1[[#This Row],[Total Number of Elements (TX + RX)]],#N/A)</f>
        <v>16</v>
      </c>
      <c r="AK103" s="1" t="e">
        <f t="shared" si="56"/>
        <v>#N/A</v>
      </c>
      <c r="AL103" s="1" t="e">
        <f t="shared" si="57"/>
        <v>#N/A</v>
      </c>
      <c r="AM103" s="1" t="e">
        <f t="shared" si="58"/>
        <v>#N/A</v>
      </c>
      <c r="AN103" s="1" t="e">
        <f t="shared" si="59"/>
        <v>#N/A</v>
      </c>
      <c r="AO103" s="1" t="e">
        <f t="shared" si="60"/>
        <v>#N/A</v>
      </c>
      <c r="AP103" s="1" t="e">
        <f t="shared" si="61"/>
        <v>#N/A</v>
      </c>
      <c r="AQ103" s="1">
        <f t="shared" si="62"/>
        <v>16</v>
      </c>
      <c r="AS103" s="1" t="e">
        <f>IF(Table1[[#This Row],[Type (TX, RX, TRX, Oscillator)]]="Relay",Table1[[#This Row],[Frequency (GHz)]],#N/A)</f>
        <v>#N/A</v>
      </c>
      <c r="AT103" s="30" t="e">
        <f>IF(Table1[[#This Row],[Type (TX, RX, TRX, Oscillator)]]="Relay",DATE(Table1[[#This Row],[Year ]],Table1[[#This Row],[Month]],1),#N/A)</f>
        <v>#N/A</v>
      </c>
      <c r="AU103" s="1" t="e">
        <f>IF(Table1[[#This Row],[Type (TX, RX, TRX, Oscillator)]]="Relay",Table1[[#This Row],[Total Number of Elements (TX + RX)]],#N/A)</f>
        <v>#N/A</v>
      </c>
      <c r="AV103" s="1" t="e">
        <f t="shared" si="63"/>
        <v>#N/A</v>
      </c>
      <c r="AW103" s="1" t="e">
        <f t="shared" si="64"/>
        <v>#N/A</v>
      </c>
      <c r="AX103" s="1" t="e">
        <f t="shared" si="65"/>
        <v>#N/A</v>
      </c>
      <c r="AY103" s="1" t="e">
        <f t="shared" si="66"/>
        <v>#N/A</v>
      </c>
      <c r="AZ103" s="1" t="e">
        <f t="shared" si="67"/>
        <v>#N/A</v>
      </c>
      <c r="BA103" s="1" t="e">
        <f t="shared" si="68"/>
        <v>#N/A</v>
      </c>
      <c r="BB103" s="1" t="e">
        <f t="shared" si="69"/>
        <v>#N/A</v>
      </c>
    </row>
    <row r="104" spans="1:54" x14ac:dyDescent="0.2">
      <c r="A104" s="1">
        <f>IF(OR(Table1[[#This Row],[Type (TX, RX, TRX, Oscillator)]]="TX", Table1[[#This Row],[Type (TX, RX, TRX, Oscillator)]]="TX FE"),Table1[[#This Row],[Frequency (GHz)]],#N/A)</f>
        <v>14.25</v>
      </c>
      <c r="B104" s="30">
        <f>IF(OR(Table1[[#This Row],[Type (TX, RX, TRX, Oscillator)]]="TX", Table1[[#This Row],[Type (TX, RX, TRX, Oscillator)]]="TX FE"),DATE(Table1[[#This Row],[Year ]],Table1[[#This Row],[Month]],1),#N/A)</f>
        <v>44713</v>
      </c>
      <c r="C104" s="1">
        <f>IF(OR(Table1[[#This Row],[Type (TX, RX, TRX, Oscillator)]]="TX",Table1[[#This Row],[Type (TX, RX, TRX, Oscillator)]]="TX FE"),Table1[[#This Row],[Total Number of Elements (TX + RX)]],#N/A)</f>
        <v>64</v>
      </c>
      <c r="D104" s="1">
        <f t="shared" si="35"/>
        <v>64</v>
      </c>
      <c r="E104" s="1" t="e">
        <f t="shared" si="36"/>
        <v>#N/A</v>
      </c>
      <c r="F104" s="1" t="e">
        <f t="shared" si="37"/>
        <v>#N/A</v>
      </c>
      <c r="G104" s="1" t="e">
        <f t="shared" si="38"/>
        <v>#N/A</v>
      </c>
      <c r="H104" s="1" t="e">
        <f t="shared" si="39"/>
        <v>#N/A</v>
      </c>
      <c r="I104" s="1" t="e">
        <f t="shared" si="40"/>
        <v>#N/A</v>
      </c>
      <c r="J104" s="1" t="e">
        <f t="shared" si="41"/>
        <v>#N/A</v>
      </c>
      <c r="L104" s="1" t="e">
        <f>IF(OR(Table1[[#This Row],[Type (TX, RX, TRX, Oscillator)]]="RX", Table1[[#This Row],[Type (TX, RX, TRX, Oscillator)]]="RX FE"),Table1[[#This Row],[Frequency (GHz)]],#N/A)</f>
        <v>#N/A</v>
      </c>
      <c r="M104" s="30" t="e">
        <f>IF(OR(Table1[[#This Row],[Type (TX, RX, TRX, Oscillator)]]="RX", Table1[[#This Row],[Type (TX, RX, TRX, Oscillator)]]="RX FE"),DATE(Table1[[#This Row],[Year ]],Table1[[#This Row],[Month]],1),#N/A)</f>
        <v>#N/A</v>
      </c>
      <c r="N104" s="1" t="e">
        <f>IF(OR(Table1[[#This Row],[Type (TX, RX, TRX, Oscillator)]]="RX", Table1[[#This Row],[Type (TX, RX, TRX, Oscillator)]]="RX FE"),Table1[[#This Row],[Total Number of Elements (TX + RX)]],#N/A)</f>
        <v>#N/A</v>
      </c>
      <c r="O104" s="1" t="e">
        <f t="shared" si="42"/>
        <v>#N/A</v>
      </c>
      <c r="P104" s="1" t="e">
        <f t="shared" si="43"/>
        <v>#N/A</v>
      </c>
      <c r="Q104" s="1" t="e">
        <f t="shared" si="44"/>
        <v>#N/A</v>
      </c>
      <c r="R104" s="1" t="e">
        <f t="shared" si="45"/>
        <v>#N/A</v>
      </c>
      <c r="S104" s="1" t="e">
        <f t="shared" si="46"/>
        <v>#N/A</v>
      </c>
      <c r="T104" s="1" t="e">
        <f t="shared" si="47"/>
        <v>#N/A</v>
      </c>
      <c r="U104" s="1" t="e">
        <f t="shared" si="48"/>
        <v>#N/A</v>
      </c>
      <c r="W104" s="1" t="e">
        <f>IF(OR(Table1[[#This Row],[Type (TX, RX, TRX, Oscillator)]]="TRX",Table1[[#This Row],[Type (TX, RX, TRX, Oscillator)]]="TRX FE"),Table1[[#This Row],[Frequency (GHz)]],#N/A)</f>
        <v>#N/A</v>
      </c>
      <c r="X104" s="30" t="e">
        <f>IF(OR(Table1[[#This Row],[Type (TX, RX, TRX, Oscillator)]]="TRX", Table1[[#This Row],[Type (TX, RX, TRX, Oscillator)]]="TRX FE"),DATE(Table1[[#This Row],[Year ]],Table1[[#This Row],[Month]],1),#N/A)</f>
        <v>#N/A</v>
      </c>
      <c r="Y104" s="1" t="e">
        <f>IF(OR(Table1[[#This Row],[Type (TX, RX, TRX, Oscillator)]]="TRX", Table1[[#This Row],[Type (TX, RX, TRX, Oscillator)]]="TRX FE"),Table1[[#This Row],[Total Number of Elements (TX + RX)]],#N/A)</f>
        <v>#N/A</v>
      </c>
      <c r="Z104" s="1" t="e">
        <f t="shared" si="49"/>
        <v>#N/A</v>
      </c>
      <c r="AA104" s="1" t="e">
        <f t="shared" si="50"/>
        <v>#N/A</v>
      </c>
      <c r="AB104" s="1" t="e">
        <f t="shared" si="51"/>
        <v>#N/A</v>
      </c>
      <c r="AC104" s="1" t="e">
        <f t="shared" si="52"/>
        <v>#N/A</v>
      </c>
      <c r="AD104" s="1" t="e">
        <f t="shared" si="53"/>
        <v>#N/A</v>
      </c>
      <c r="AE104" s="1" t="e">
        <f t="shared" si="54"/>
        <v>#N/A</v>
      </c>
      <c r="AF104" s="1" t="e">
        <f t="shared" si="55"/>
        <v>#N/A</v>
      </c>
      <c r="AH104" s="1" t="e">
        <f>IF(Table1[[#This Row],[Type (TX, RX, TRX, Oscillator)]]="Oscillator",Table1[[#This Row],[Frequency (GHz)]],#N/A)</f>
        <v>#N/A</v>
      </c>
      <c r="AI104" s="30" t="e">
        <f>IF(Table1[[#This Row],[Type (TX, RX, TRX, Oscillator)]]="Oscillator",DATE(Table1[[#This Row],[Year ]],Table1[[#This Row],[Month]],1),#N/A)</f>
        <v>#N/A</v>
      </c>
      <c r="AJ104" s="1" t="e">
        <f>IF(Table1[[#This Row],[Type (TX, RX, TRX, Oscillator)]]="Oscillator",Table1[[#This Row],[Total Number of Elements (TX + RX)]],#N/A)</f>
        <v>#N/A</v>
      </c>
      <c r="AK104" s="1" t="e">
        <f t="shared" si="56"/>
        <v>#N/A</v>
      </c>
      <c r="AL104" s="1" t="e">
        <f t="shared" si="57"/>
        <v>#N/A</v>
      </c>
      <c r="AM104" s="1" t="e">
        <f t="shared" si="58"/>
        <v>#N/A</v>
      </c>
      <c r="AN104" s="1" t="e">
        <f t="shared" si="59"/>
        <v>#N/A</v>
      </c>
      <c r="AO104" s="1" t="e">
        <f t="shared" si="60"/>
        <v>#N/A</v>
      </c>
      <c r="AP104" s="1" t="e">
        <f t="shared" si="61"/>
        <v>#N/A</v>
      </c>
      <c r="AQ104" s="1" t="e">
        <f t="shared" si="62"/>
        <v>#N/A</v>
      </c>
      <c r="AS104" s="1" t="e">
        <f>IF(Table1[[#This Row],[Type (TX, RX, TRX, Oscillator)]]="Relay",Table1[[#This Row],[Frequency (GHz)]],#N/A)</f>
        <v>#N/A</v>
      </c>
      <c r="AT104" s="30" t="e">
        <f>IF(Table1[[#This Row],[Type (TX, RX, TRX, Oscillator)]]="Relay",DATE(Table1[[#This Row],[Year ]],Table1[[#This Row],[Month]],1),#N/A)</f>
        <v>#N/A</v>
      </c>
      <c r="AU104" s="1" t="e">
        <f>IF(Table1[[#This Row],[Type (TX, RX, TRX, Oscillator)]]="Relay",Table1[[#This Row],[Total Number of Elements (TX + RX)]],#N/A)</f>
        <v>#N/A</v>
      </c>
      <c r="AV104" s="1" t="e">
        <f t="shared" si="63"/>
        <v>#N/A</v>
      </c>
      <c r="AW104" s="1" t="e">
        <f t="shared" si="64"/>
        <v>#N/A</v>
      </c>
      <c r="AX104" s="1" t="e">
        <f t="shared" si="65"/>
        <v>#N/A</v>
      </c>
      <c r="AY104" s="1" t="e">
        <f t="shared" si="66"/>
        <v>#N/A</v>
      </c>
      <c r="AZ104" s="1" t="e">
        <f t="shared" si="67"/>
        <v>#N/A</v>
      </c>
      <c r="BA104" s="1" t="e">
        <f t="shared" si="68"/>
        <v>#N/A</v>
      </c>
      <c r="BB104" s="1" t="e">
        <f t="shared" si="69"/>
        <v>#N/A</v>
      </c>
    </row>
    <row r="105" spans="1:54" x14ac:dyDescent="0.2">
      <c r="A105" s="1" t="e">
        <f>IF(OR(Table1[[#This Row],[Type (TX, RX, TRX, Oscillator)]]="TX", Table1[[#This Row],[Type (TX, RX, TRX, Oscillator)]]="TX FE"),Table1[[#This Row],[Frequency (GHz)]],#N/A)</f>
        <v>#N/A</v>
      </c>
      <c r="B105" s="30" t="e">
        <f>IF(OR(Table1[[#This Row],[Type (TX, RX, TRX, Oscillator)]]="TX", Table1[[#This Row],[Type (TX, RX, TRX, Oscillator)]]="TX FE"),DATE(Table1[[#This Row],[Year ]],Table1[[#This Row],[Month]],1),#N/A)</f>
        <v>#N/A</v>
      </c>
      <c r="C105" s="1" t="e">
        <f>IF(OR(Table1[[#This Row],[Type (TX, RX, TRX, Oscillator)]]="TX",Table1[[#This Row],[Type (TX, RX, TRX, Oscillator)]]="TX FE"),Table1[[#This Row],[Total Number of Elements (TX + RX)]],#N/A)</f>
        <v>#N/A</v>
      </c>
      <c r="D105" s="1" t="e">
        <f t="shared" si="35"/>
        <v>#N/A</v>
      </c>
      <c r="E105" s="1" t="e">
        <f t="shared" si="36"/>
        <v>#N/A</v>
      </c>
      <c r="F105" s="1" t="e">
        <f t="shared" si="37"/>
        <v>#N/A</v>
      </c>
      <c r="G105" s="1" t="e">
        <f t="shared" si="38"/>
        <v>#N/A</v>
      </c>
      <c r="H105" s="1" t="e">
        <f t="shared" si="39"/>
        <v>#N/A</v>
      </c>
      <c r="I105" s="1" t="e">
        <f t="shared" si="40"/>
        <v>#N/A</v>
      </c>
      <c r="J105" s="1" t="e">
        <f t="shared" si="41"/>
        <v>#N/A</v>
      </c>
      <c r="L105" s="1" t="e">
        <f>IF(OR(Table1[[#This Row],[Type (TX, RX, TRX, Oscillator)]]="RX", Table1[[#This Row],[Type (TX, RX, TRX, Oscillator)]]="RX FE"),Table1[[#This Row],[Frequency (GHz)]],#N/A)</f>
        <v>#N/A</v>
      </c>
      <c r="M105" s="30" t="e">
        <f>IF(OR(Table1[[#This Row],[Type (TX, RX, TRX, Oscillator)]]="RX", Table1[[#This Row],[Type (TX, RX, TRX, Oscillator)]]="RX FE"),DATE(Table1[[#This Row],[Year ]],Table1[[#This Row],[Month]],1),#N/A)</f>
        <v>#N/A</v>
      </c>
      <c r="N105" s="1" t="e">
        <f>IF(OR(Table1[[#This Row],[Type (TX, RX, TRX, Oscillator)]]="RX", Table1[[#This Row],[Type (TX, RX, TRX, Oscillator)]]="RX FE"),Table1[[#This Row],[Total Number of Elements (TX + RX)]],#N/A)</f>
        <v>#N/A</v>
      </c>
      <c r="O105" s="1" t="e">
        <f t="shared" si="42"/>
        <v>#N/A</v>
      </c>
      <c r="P105" s="1" t="e">
        <f t="shared" si="43"/>
        <v>#N/A</v>
      </c>
      <c r="Q105" s="1" t="e">
        <f t="shared" si="44"/>
        <v>#N/A</v>
      </c>
      <c r="R105" s="1" t="e">
        <f t="shared" si="45"/>
        <v>#N/A</v>
      </c>
      <c r="S105" s="1" t="e">
        <f t="shared" si="46"/>
        <v>#N/A</v>
      </c>
      <c r="T105" s="1" t="e">
        <f t="shared" si="47"/>
        <v>#N/A</v>
      </c>
      <c r="U105" s="1" t="e">
        <f t="shared" si="48"/>
        <v>#N/A</v>
      </c>
      <c r="W105" s="1">
        <f>IF(OR(Table1[[#This Row],[Type (TX, RX, TRX, Oscillator)]]="TRX",Table1[[#This Row],[Type (TX, RX, TRX, Oscillator)]]="TRX FE"),Table1[[#This Row],[Frequency (GHz)]],#N/A)</f>
        <v>28</v>
      </c>
      <c r="X105" s="30">
        <f>IF(OR(Table1[[#This Row],[Type (TX, RX, TRX, Oscillator)]]="TRX", Table1[[#This Row],[Type (TX, RX, TRX, Oscillator)]]="TRX FE"),DATE(Table1[[#This Row],[Year ]],Table1[[#This Row],[Month]],1),#N/A)</f>
        <v>44713</v>
      </c>
      <c r="Y105" s="1">
        <f>IF(OR(Table1[[#This Row],[Type (TX, RX, TRX, Oscillator)]]="TRX", Table1[[#This Row],[Type (TX, RX, TRX, Oscillator)]]="TRX FE"),Table1[[#This Row],[Total Number of Elements (TX + RX)]],#N/A)</f>
        <v>0</v>
      </c>
      <c r="Z105" s="1" t="e">
        <f t="shared" si="49"/>
        <v>#N/A</v>
      </c>
      <c r="AA105" s="1">
        <f t="shared" si="50"/>
        <v>0</v>
      </c>
      <c r="AB105" s="1" t="e">
        <f t="shared" si="51"/>
        <v>#N/A</v>
      </c>
      <c r="AC105" s="1" t="e">
        <f t="shared" si="52"/>
        <v>#N/A</v>
      </c>
      <c r="AD105" s="1" t="e">
        <f t="shared" si="53"/>
        <v>#N/A</v>
      </c>
      <c r="AE105" s="1" t="e">
        <f t="shared" si="54"/>
        <v>#N/A</v>
      </c>
      <c r="AF105" s="1" t="e">
        <f t="shared" si="55"/>
        <v>#N/A</v>
      </c>
      <c r="AH105" s="1" t="e">
        <f>IF(Table1[[#This Row],[Type (TX, RX, TRX, Oscillator)]]="Oscillator",Table1[[#This Row],[Frequency (GHz)]],#N/A)</f>
        <v>#N/A</v>
      </c>
      <c r="AI105" s="30" t="e">
        <f>IF(Table1[[#This Row],[Type (TX, RX, TRX, Oscillator)]]="Oscillator",DATE(Table1[[#This Row],[Year ]],Table1[[#This Row],[Month]],1),#N/A)</f>
        <v>#N/A</v>
      </c>
      <c r="AJ105" s="1" t="e">
        <f>IF(Table1[[#This Row],[Type (TX, RX, TRX, Oscillator)]]="Oscillator",Table1[[#This Row],[Total Number of Elements (TX + RX)]],#N/A)</f>
        <v>#N/A</v>
      </c>
      <c r="AK105" s="1" t="e">
        <f t="shared" si="56"/>
        <v>#N/A</v>
      </c>
      <c r="AL105" s="1" t="e">
        <f t="shared" si="57"/>
        <v>#N/A</v>
      </c>
      <c r="AM105" s="1" t="e">
        <f t="shared" si="58"/>
        <v>#N/A</v>
      </c>
      <c r="AN105" s="1" t="e">
        <f t="shared" si="59"/>
        <v>#N/A</v>
      </c>
      <c r="AO105" s="1" t="e">
        <f t="shared" si="60"/>
        <v>#N/A</v>
      </c>
      <c r="AP105" s="1" t="e">
        <f t="shared" si="61"/>
        <v>#N/A</v>
      </c>
      <c r="AQ105" s="1" t="e">
        <f t="shared" si="62"/>
        <v>#N/A</v>
      </c>
      <c r="AS105" s="1" t="e">
        <f>IF(Table1[[#This Row],[Type (TX, RX, TRX, Oscillator)]]="Relay",Table1[[#This Row],[Frequency (GHz)]],#N/A)</f>
        <v>#N/A</v>
      </c>
      <c r="AT105" s="30" t="e">
        <f>IF(Table1[[#This Row],[Type (TX, RX, TRX, Oscillator)]]="Relay",DATE(Table1[[#This Row],[Year ]],Table1[[#This Row],[Month]],1),#N/A)</f>
        <v>#N/A</v>
      </c>
      <c r="AU105" s="1" t="e">
        <f>IF(Table1[[#This Row],[Type (TX, RX, TRX, Oscillator)]]="Relay",Table1[[#This Row],[Total Number of Elements (TX + RX)]],#N/A)</f>
        <v>#N/A</v>
      </c>
      <c r="AV105" s="1" t="e">
        <f t="shared" si="63"/>
        <v>#N/A</v>
      </c>
      <c r="AW105" s="1" t="e">
        <f t="shared" si="64"/>
        <v>#N/A</v>
      </c>
      <c r="AX105" s="1" t="e">
        <f t="shared" si="65"/>
        <v>#N/A</v>
      </c>
      <c r="AY105" s="1" t="e">
        <f t="shared" si="66"/>
        <v>#N/A</v>
      </c>
      <c r="AZ105" s="1" t="e">
        <f t="shared" si="67"/>
        <v>#N/A</v>
      </c>
      <c r="BA105" s="1" t="e">
        <f t="shared" si="68"/>
        <v>#N/A</v>
      </c>
      <c r="BB105" s="1" t="e">
        <f t="shared" si="69"/>
        <v>#N/A</v>
      </c>
    </row>
    <row r="106" spans="1:54" x14ac:dyDescent="0.2">
      <c r="A106" s="1" t="e">
        <f>IF(OR(Table1[[#This Row],[Type (TX, RX, TRX, Oscillator)]]="TX", Table1[[#This Row],[Type (TX, RX, TRX, Oscillator)]]="TX FE"),Table1[[#This Row],[Frequency (GHz)]],#N/A)</f>
        <v>#N/A</v>
      </c>
      <c r="B106" s="30" t="e">
        <f>IF(OR(Table1[[#This Row],[Type (TX, RX, TRX, Oscillator)]]="TX", Table1[[#This Row],[Type (TX, RX, TRX, Oscillator)]]="TX FE"),DATE(Table1[[#This Row],[Year ]],Table1[[#This Row],[Month]],1),#N/A)</f>
        <v>#N/A</v>
      </c>
      <c r="C106" s="1" t="e">
        <f>IF(OR(Table1[[#This Row],[Type (TX, RX, TRX, Oscillator)]]="TX",Table1[[#This Row],[Type (TX, RX, TRX, Oscillator)]]="TX FE"),Table1[[#This Row],[Total Number of Elements (TX + RX)]],#N/A)</f>
        <v>#N/A</v>
      </c>
      <c r="D106" s="1" t="e">
        <f t="shared" si="35"/>
        <v>#N/A</v>
      </c>
      <c r="E106" s="1" t="e">
        <f t="shared" si="36"/>
        <v>#N/A</v>
      </c>
      <c r="F106" s="1" t="e">
        <f t="shared" si="37"/>
        <v>#N/A</v>
      </c>
      <c r="G106" s="1" t="e">
        <f t="shared" si="38"/>
        <v>#N/A</v>
      </c>
      <c r="H106" s="1" t="e">
        <f t="shared" si="39"/>
        <v>#N/A</v>
      </c>
      <c r="I106" s="1" t="e">
        <f t="shared" si="40"/>
        <v>#N/A</v>
      </c>
      <c r="J106" s="1" t="e">
        <f t="shared" si="41"/>
        <v>#N/A</v>
      </c>
      <c r="L106" s="1" t="e">
        <f>IF(OR(Table1[[#This Row],[Type (TX, RX, TRX, Oscillator)]]="RX", Table1[[#This Row],[Type (TX, RX, TRX, Oscillator)]]="RX FE"),Table1[[#This Row],[Frequency (GHz)]],#N/A)</f>
        <v>#N/A</v>
      </c>
      <c r="M106" s="30" t="e">
        <f>IF(OR(Table1[[#This Row],[Type (TX, RX, TRX, Oscillator)]]="RX", Table1[[#This Row],[Type (TX, RX, TRX, Oscillator)]]="RX FE"),DATE(Table1[[#This Row],[Year ]],Table1[[#This Row],[Month]],1),#N/A)</f>
        <v>#N/A</v>
      </c>
      <c r="N106" s="1" t="e">
        <f>IF(OR(Table1[[#This Row],[Type (TX, RX, TRX, Oscillator)]]="RX", Table1[[#This Row],[Type (TX, RX, TRX, Oscillator)]]="RX FE"),Table1[[#This Row],[Total Number of Elements (TX + RX)]],#N/A)</f>
        <v>#N/A</v>
      </c>
      <c r="O106" s="1" t="e">
        <f t="shared" si="42"/>
        <v>#N/A</v>
      </c>
      <c r="P106" s="1" t="e">
        <f t="shared" si="43"/>
        <v>#N/A</v>
      </c>
      <c r="Q106" s="1" t="e">
        <f t="shared" si="44"/>
        <v>#N/A</v>
      </c>
      <c r="R106" s="1" t="e">
        <f t="shared" si="45"/>
        <v>#N/A</v>
      </c>
      <c r="S106" s="1" t="e">
        <f t="shared" si="46"/>
        <v>#N/A</v>
      </c>
      <c r="T106" s="1" t="e">
        <f t="shared" si="47"/>
        <v>#N/A</v>
      </c>
      <c r="U106" s="1" t="e">
        <f t="shared" si="48"/>
        <v>#N/A</v>
      </c>
      <c r="W106" s="1">
        <f>IF(OR(Table1[[#This Row],[Type (TX, RX, TRX, Oscillator)]]="TRX",Table1[[#This Row],[Type (TX, RX, TRX, Oscillator)]]="TRX FE"),Table1[[#This Row],[Frequency (GHz)]],#N/A)</f>
        <v>39</v>
      </c>
      <c r="X106" s="30">
        <f>IF(OR(Table1[[#This Row],[Type (TX, RX, TRX, Oscillator)]]="TRX", Table1[[#This Row],[Type (TX, RX, TRX, Oscillator)]]="TRX FE"),DATE(Table1[[#This Row],[Year ]],Table1[[#This Row],[Month]],1),#N/A)</f>
        <v>44713</v>
      </c>
      <c r="Y106" s="1">
        <f>IF(OR(Table1[[#This Row],[Type (TX, RX, TRX, Oscillator)]]="TRX", Table1[[#This Row],[Type (TX, RX, TRX, Oscillator)]]="TRX FE"),Table1[[#This Row],[Total Number of Elements (TX + RX)]],#N/A)</f>
        <v>0</v>
      </c>
      <c r="Z106" s="1" t="e">
        <f t="shared" si="49"/>
        <v>#N/A</v>
      </c>
      <c r="AA106" s="1">
        <f t="shared" si="50"/>
        <v>0</v>
      </c>
      <c r="AB106" s="1" t="e">
        <f t="shared" si="51"/>
        <v>#N/A</v>
      </c>
      <c r="AC106" s="1" t="e">
        <f t="shared" si="52"/>
        <v>#N/A</v>
      </c>
      <c r="AD106" s="1" t="e">
        <f t="shared" si="53"/>
        <v>#N/A</v>
      </c>
      <c r="AE106" s="1" t="e">
        <f t="shared" si="54"/>
        <v>#N/A</v>
      </c>
      <c r="AF106" s="1" t="e">
        <f t="shared" si="55"/>
        <v>#N/A</v>
      </c>
      <c r="AH106" s="1" t="e">
        <f>IF(Table1[[#This Row],[Type (TX, RX, TRX, Oscillator)]]="Oscillator",Table1[[#This Row],[Frequency (GHz)]],#N/A)</f>
        <v>#N/A</v>
      </c>
      <c r="AI106" s="30" t="e">
        <f>IF(Table1[[#This Row],[Type (TX, RX, TRX, Oscillator)]]="Oscillator",DATE(Table1[[#This Row],[Year ]],Table1[[#This Row],[Month]],1),#N/A)</f>
        <v>#N/A</v>
      </c>
      <c r="AJ106" s="1" t="e">
        <f>IF(Table1[[#This Row],[Type (TX, RX, TRX, Oscillator)]]="Oscillator",Table1[[#This Row],[Total Number of Elements (TX + RX)]],#N/A)</f>
        <v>#N/A</v>
      </c>
      <c r="AK106" s="1" t="e">
        <f t="shared" si="56"/>
        <v>#N/A</v>
      </c>
      <c r="AL106" s="1" t="e">
        <f t="shared" si="57"/>
        <v>#N/A</v>
      </c>
      <c r="AM106" s="1" t="e">
        <f t="shared" si="58"/>
        <v>#N/A</v>
      </c>
      <c r="AN106" s="1" t="e">
        <f t="shared" si="59"/>
        <v>#N/A</v>
      </c>
      <c r="AO106" s="1" t="e">
        <f t="shared" si="60"/>
        <v>#N/A</v>
      </c>
      <c r="AP106" s="1" t="e">
        <f t="shared" si="61"/>
        <v>#N/A</v>
      </c>
      <c r="AQ106" s="1" t="e">
        <f t="shared" si="62"/>
        <v>#N/A</v>
      </c>
      <c r="AS106" s="1" t="e">
        <f>IF(Table1[[#This Row],[Type (TX, RX, TRX, Oscillator)]]="Relay",Table1[[#This Row],[Frequency (GHz)]],#N/A)</f>
        <v>#N/A</v>
      </c>
      <c r="AT106" s="30" t="e">
        <f>IF(Table1[[#This Row],[Type (TX, RX, TRX, Oscillator)]]="Relay",DATE(Table1[[#This Row],[Year ]],Table1[[#This Row],[Month]],1),#N/A)</f>
        <v>#N/A</v>
      </c>
      <c r="AU106" s="1" t="e">
        <f>IF(Table1[[#This Row],[Type (TX, RX, TRX, Oscillator)]]="Relay",Table1[[#This Row],[Total Number of Elements (TX + RX)]],#N/A)</f>
        <v>#N/A</v>
      </c>
      <c r="AV106" s="1" t="e">
        <f t="shared" si="63"/>
        <v>#N/A</v>
      </c>
      <c r="AW106" s="1" t="e">
        <f t="shared" si="64"/>
        <v>#N/A</v>
      </c>
      <c r="AX106" s="1" t="e">
        <f t="shared" si="65"/>
        <v>#N/A</v>
      </c>
      <c r="AY106" s="1" t="e">
        <f t="shared" si="66"/>
        <v>#N/A</v>
      </c>
      <c r="AZ106" s="1" t="e">
        <f t="shared" si="67"/>
        <v>#N/A</v>
      </c>
      <c r="BA106" s="1" t="e">
        <f t="shared" si="68"/>
        <v>#N/A</v>
      </c>
      <c r="BB106" s="1" t="e">
        <f t="shared" si="69"/>
        <v>#N/A</v>
      </c>
    </row>
    <row r="107" spans="1:54" x14ac:dyDescent="0.2">
      <c r="A107" s="1">
        <f>IF(OR(Table1[[#This Row],[Type (TX, RX, TRX, Oscillator)]]="TX", Table1[[#This Row],[Type (TX, RX, TRX, Oscillator)]]="TX FE"),Table1[[#This Row],[Frequency (GHz)]],#N/A)</f>
        <v>29</v>
      </c>
      <c r="B107" s="30">
        <f>IF(OR(Table1[[#This Row],[Type (TX, RX, TRX, Oscillator)]]="TX", Table1[[#This Row],[Type (TX, RX, TRX, Oscillator)]]="TX FE"),DATE(Table1[[#This Row],[Year ]],Table1[[#This Row],[Month]],1),#N/A)</f>
        <v>44713</v>
      </c>
      <c r="C107" s="1">
        <f>IF(OR(Table1[[#This Row],[Type (TX, RX, TRX, Oscillator)]]="TX",Table1[[#This Row],[Type (TX, RX, TRX, Oscillator)]]="TX FE"),Table1[[#This Row],[Total Number of Elements (TX + RX)]],#N/A)</f>
        <v>16</v>
      </c>
      <c r="D107" s="1" t="e">
        <f t="shared" si="35"/>
        <v>#N/A</v>
      </c>
      <c r="E107" s="1">
        <f t="shared" si="36"/>
        <v>16</v>
      </c>
      <c r="F107" s="1" t="e">
        <f t="shared" si="37"/>
        <v>#N/A</v>
      </c>
      <c r="G107" s="1" t="e">
        <f t="shared" si="38"/>
        <v>#N/A</v>
      </c>
      <c r="H107" s="1" t="e">
        <f t="shared" si="39"/>
        <v>#N/A</v>
      </c>
      <c r="I107" s="1" t="e">
        <f t="shared" si="40"/>
        <v>#N/A</v>
      </c>
      <c r="J107" s="1" t="e">
        <f t="shared" si="41"/>
        <v>#N/A</v>
      </c>
      <c r="L107" s="1" t="e">
        <f>IF(OR(Table1[[#This Row],[Type (TX, RX, TRX, Oscillator)]]="RX", Table1[[#This Row],[Type (TX, RX, TRX, Oscillator)]]="RX FE"),Table1[[#This Row],[Frequency (GHz)]],#N/A)</f>
        <v>#N/A</v>
      </c>
      <c r="M107" s="30" t="e">
        <f>IF(OR(Table1[[#This Row],[Type (TX, RX, TRX, Oscillator)]]="RX", Table1[[#This Row],[Type (TX, RX, TRX, Oscillator)]]="RX FE"),DATE(Table1[[#This Row],[Year ]],Table1[[#This Row],[Month]],1),#N/A)</f>
        <v>#N/A</v>
      </c>
      <c r="N107" s="1" t="e">
        <f>IF(OR(Table1[[#This Row],[Type (TX, RX, TRX, Oscillator)]]="RX", Table1[[#This Row],[Type (TX, RX, TRX, Oscillator)]]="RX FE"),Table1[[#This Row],[Total Number of Elements (TX + RX)]],#N/A)</f>
        <v>#N/A</v>
      </c>
      <c r="O107" s="1" t="e">
        <f t="shared" si="42"/>
        <v>#N/A</v>
      </c>
      <c r="P107" s="1" t="e">
        <f t="shared" si="43"/>
        <v>#N/A</v>
      </c>
      <c r="Q107" s="1" t="e">
        <f t="shared" si="44"/>
        <v>#N/A</v>
      </c>
      <c r="R107" s="1" t="e">
        <f t="shared" si="45"/>
        <v>#N/A</v>
      </c>
      <c r="S107" s="1" t="e">
        <f t="shared" si="46"/>
        <v>#N/A</v>
      </c>
      <c r="T107" s="1" t="e">
        <f t="shared" si="47"/>
        <v>#N/A</v>
      </c>
      <c r="U107" s="1" t="e">
        <f t="shared" si="48"/>
        <v>#N/A</v>
      </c>
      <c r="W107" s="1" t="e">
        <f>IF(OR(Table1[[#This Row],[Type (TX, RX, TRX, Oscillator)]]="TRX",Table1[[#This Row],[Type (TX, RX, TRX, Oscillator)]]="TRX FE"),Table1[[#This Row],[Frequency (GHz)]],#N/A)</f>
        <v>#N/A</v>
      </c>
      <c r="X107" s="30" t="e">
        <f>IF(OR(Table1[[#This Row],[Type (TX, RX, TRX, Oscillator)]]="TRX", Table1[[#This Row],[Type (TX, RX, TRX, Oscillator)]]="TRX FE"),DATE(Table1[[#This Row],[Year ]],Table1[[#This Row],[Month]],1),#N/A)</f>
        <v>#N/A</v>
      </c>
      <c r="Y107" s="1" t="e">
        <f>IF(OR(Table1[[#This Row],[Type (TX, RX, TRX, Oscillator)]]="TRX", Table1[[#This Row],[Type (TX, RX, TRX, Oscillator)]]="TRX FE"),Table1[[#This Row],[Total Number of Elements (TX + RX)]],#N/A)</f>
        <v>#N/A</v>
      </c>
      <c r="Z107" s="1" t="e">
        <f t="shared" si="49"/>
        <v>#N/A</v>
      </c>
      <c r="AA107" s="1" t="e">
        <f t="shared" si="50"/>
        <v>#N/A</v>
      </c>
      <c r="AB107" s="1" t="e">
        <f t="shared" si="51"/>
        <v>#N/A</v>
      </c>
      <c r="AC107" s="1" t="e">
        <f t="shared" si="52"/>
        <v>#N/A</v>
      </c>
      <c r="AD107" s="1" t="e">
        <f t="shared" si="53"/>
        <v>#N/A</v>
      </c>
      <c r="AE107" s="1" t="e">
        <f t="shared" si="54"/>
        <v>#N/A</v>
      </c>
      <c r="AF107" s="1" t="e">
        <f t="shared" si="55"/>
        <v>#N/A</v>
      </c>
      <c r="AH107" s="1" t="e">
        <f>IF(Table1[[#This Row],[Type (TX, RX, TRX, Oscillator)]]="Oscillator",Table1[[#This Row],[Frequency (GHz)]],#N/A)</f>
        <v>#N/A</v>
      </c>
      <c r="AI107" s="30" t="e">
        <f>IF(Table1[[#This Row],[Type (TX, RX, TRX, Oscillator)]]="Oscillator",DATE(Table1[[#This Row],[Year ]],Table1[[#This Row],[Month]],1),#N/A)</f>
        <v>#N/A</v>
      </c>
      <c r="AJ107" s="1" t="e">
        <f>IF(Table1[[#This Row],[Type (TX, RX, TRX, Oscillator)]]="Oscillator",Table1[[#This Row],[Total Number of Elements (TX + RX)]],#N/A)</f>
        <v>#N/A</v>
      </c>
      <c r="AK107" s="1" t="e">
        <f t="shared" si="56"/>
        <v>#N/A</v>
      </c>
      <c r="AL107" s="1" t="e">
        <f t="shared" si="57"/>
        <v>#N/A</v>
      </c>
      <c r="AM107" s="1" t="e">
        <f t="shared" si="58"/>
        <v>#N/A</v>
      </c>
      <c r="AN107" s="1" t="e">
        <f t="shared" si="59"/>
        <v>#N/A</v>
      </c>
      <c r="AO107" s="1" t="e">
        <f t="shared" si="60"/>
        <v>#N/A</v>
      </c>
      <c r="AP107" s="1" t="e">
        <f t="shared" si="61"/>
        <v>#N/A</v>
      </c>
      <c r="AQ107" s="1" t="e">
        <f t="shared" si="62"/>
        <v>#N/A</v>
      </c>
      <c r="AS107" s="1" t="e">
        <f>IF(Table1[[#This Row],[Type (TX, RX, TRX, Oscillator)]]="Relay",Table1[[#This Row],[Frequency (GHz)]],#N/A)</f>
        <v>#N/A</v>
      </c>
      <c r="AT107" s="30" t="e">
        <f>IF(Table1[[#This Row],[Type (TX, RX, TRX, Oscillator)]]="Relay",DATE(Table1[[#This Row],[Year ]],Table1[[#This Row],[Month]],1),#N/A)</f>
        <v>#N/A</v>
      </c>
      <c r="AU107" s="1" t="e">
        <f>IF(Table1[[#This Row],[Type (TX, RX, TRX, Oscillator)]]="Relay",Table1[[#This Row],[Total Number of Elements (TX + RX)]],#N/A)</f>
        <v>#N/A</v>
      </c>
      <c r="AV107" s="1" t="e">
        <f t="shared" si="63"/>
        <v>#N/A</v>
      </c>
      <c r="AW107" s="1" t="e">
        <f t="shared" si="64"/>
        <v>#N/A</v>
      </c>
      <c r="AX107" s="1" t="e">
        <f t="shared" si="65"/>
        <v>#N/A</v>
      </c>
      <c r="AY107" s="1" t="e">
        <f t="shared" si="66"/>
        <v>#N/A</v>
      </c>
      <c r="AZ107" s="1" t="e">
        <f t="shared" si="67"/>
        <v>#N/A</v>
      </c>
      <c r="BA107" s="1" t="e">
        <f t="shared" si="68"/>
        <v>#N/A</v>
      </c>
      <c r="BB107" s="1" t="e">
        <f t="shared" si="69"/>
        <v>#N/A</v>
      </c>
    </row>
    <row r="108" spans="1:54" x14ac:dyDescent="0.2">
      <c r="A108" s="1" t="e">
        <f>IF(OR(Table1[[#This Row],[Type (TX, RX, TRX, Oscillator)]]="TX", Table1[[#This Row],[Type (TX, RX, TRX, Oscillator)]]="TX FE"),Table1[[#This Row],[Frequency (GHz)]],#N/A)</f>
        <v>#N/A</v>
      </c>
      <c r="B108" s="30" t="e">
        <f>IF(OR(Table1[[#This Row],[Type (TX, RX, TRX, Oscillator)]]="TX", Table1[[#This Row],[Type (TX, RX, TRX, Oscillator)]]="TX FE"),DATE(Table1[[#This Row],[Year ]],Table1[[#This Row],[Month]],1),#N/A)</f>
        <v>#N/A</v>
      </c>
      <c r="C108" s="1" t="e">
        <f>IF(OR(Table1[[#This Row],[Type (TX, RX, TRX, Oscillator)]]="TX",Table1[[#This Row],[Type (TX, RX, TRX, Oscillator)]]="TX FE"),Table1[[#This Row],[Total Number of Elements (TX + RX)]],#N/A)</f>
        <v>#N/A</v>
      </c>
      <c r="D108" s="1" t="e">
        <f t="shared" si="35"/>
        <v>#N/A</v>
      </c>
      <c r="E108" s="1" t="e">
        <f t="shared" si="36"/>
        <v>#N/A</v>
      </c>
      <c r="F108" s="1" t="e">
        <f t="shared" si="37"/>
        <v>#N/A</v>
      </c>
      <c r="G108" s="1" t="e">
        <f t="shared" si="38"/>
        <v>#N/A</v>
      </c>
      <c r="H108" s="1" t="e">
        <f t="shared" si="39"/>
        <v>#N/A</v>
      </c>
      <c r="I108" s="1" t="e">
        <f t="shared" si="40"/>
        <v>#N/A</v>
      </c>
      <c r="J108" s="1" t="e">
        <f t="shared" si="41"/>
        <v>#N/A</v>
      </c>
      <c r="L108" s="1" t="e">
        <f>IF(OR(Table1[[#This Row],[Type (TX, RX, TRX, Oscillator)]]="RX", Table1[[#This Row],[Type (TX, RX, TRX, Oscillator)]]="RX FE"),Table1[[#This Row],[Frequency (GHz)]],#N/A)</f>
        <v>#N/A</v>
      </c>
      <c r="M108" s="30" t="e">
        <f>IF(OR(Table1[[#This Row],[Type (TX, RX, TRX, Oscillator)]]="RX", Table1[[#This Row],[Type (TX, RX, TRX, Oscillator)]]="RX FE"),DATE(Table1[[#This Row],[Year ]],Table1[[#This Row],[Month]],1),#N/A)</f>
        <v>#N/A</v>
      </c>
      <c r="N108" s="1" t="e">
        <f>IF(OR(Table1[[#This Row],[Type (TX, RX, TRX, Oscillator)]]="RX", Table1[[#This Row],[Type (TX, RX, TRX, Oscillator)]]="RX FE"),Table1[[#This Row],[Total Number of Elements (TX + RX)]],#N/A)</f>
        <v>#N/A</v>
      </c>
      <c r="O108" s="1" t="e">
        <f t="shared" si="42"/>
        <v>#N/A</v>
      </c>
      <c r="P108" s="1" t="e">
        <f t="shared" si="43"/>
        <v>#N/A</v>
      </c>
      <c r="Q108" s="1" t="e">
        <f t="shared" si="44"/>
        <v>#N/A</v>
      </c>
      <c r="R108" s="1" t="e">
        <f t="shared" si="45"/>
        <v>#N/A</v>
      </c>
      <c r="S108" s="1" t="e">
        <f t="shared" si="46"/>
        <v>#N/A</v>
      </c>
      <c r="T108" s="1" t="e">
        <f t="shared" si="47"/>
        <v>#N/A</v>
      </c>
      <c r="U108" s="1" t="e">
        <f t="shared" si="48"/>
        <v>#N/A</v>
      </c>
      <c r="W108" s="1" t="e">
        <f>IF(OR(Table1[[#This Row],[Type (TX, RX, TRX, Oscillator)]]="TRX",Table1[[#This Row],[Type (TX, RX, TRX, Oscillator)]]="TRX FE"),Table1[[#This Row],[Frequency (GHz)]],#N/A)</f>
        <v>#N/A</v>
      </c>
      <c r="X108" s="30" t="e">
        <f>IF(OR(Table1[[#This Row],[Type (TX, RX, TRX, Oscillator)]]="TRX", Table1[[#This Row],[Type (TX, RX, TRX, Oscillator)]]="TRX FE"),DATE(Table1[[#This Row],[Year ]],Table1[[#This Row],[Month]],1),#N/A)</f>
        <v>#N/A</v>
      </c>
      <c r="Y108" s="1" t="e">
        <f>IF(OR(Table1[[#This Row],[Type (TX, RX, TRX, Oscillator)]]="TRX", Table1[[#This Row],[Type (TX, RX, TRX, Oscillator)]]="TRX FE"),Table1[[#This Row],[Total Number of Elements (TX + RX)]],#N/A)</f>
        <v>#N/A</v>
      </c>
      <c r="Z108" s="1" t="e">
        <f t="shared" si="49"/>
        <v>#N/A</v>
      </c>
      <c r="AA108" s="1" t="e">
        <f t="shared" si="50"/>
        <v>#N/A</v>
      </c>
      <c r="AB108" s="1" t="e">
        <f t="shared" si="51"/>
        <v>#N/A</v>
      </c>
      <c r="AC108" s="1" t="e">
        <f t="shared" si="52"/>
        <v>#N/A</v>
      </c>
      <c r="AD108" s="1" t="e">
        <f t="shared" si="53"/>
        <v>#N/A</v>
      </c>
      <c r="AE108" s="1" t="e">
        <f t="shared" si="54"/>
        <v>#N/A</v>
      </c>
      <c r="AF108" s="1" t="e">
        <f t="shared" si="55"/>
        <v>#N/A</v>
      </c>
      <c r="AH108" s="1">
        <f>IF(Table1[[#This Row],[Type (TX, RX, TRX, Oscillator)]]="Oscillator",Table1[[#This Row],[Frequency (GHz)]],#N/A)</f>
        <v>472</v>
      </c>
      <c r="AI108" s="30">
        <f>IF(Table1[[#This Row],[Type (TX, RX, TRX, Oscillator)]]="Oscillator",DATE(Table1[[#This Row],[Year ]],Table1[[#This Row],[Month]],1),#N/A)</f>
        <v>44743</v>
      </c>
      <c r="AJ108" s="1">
        <f>IF(Table1[[#This Row],[Type (TX, RX, TRX, Oscillator)]]="Oscillator",Table1[[#This Row],[Total Number of Elements (TX + RX)]],#N/A)</f>
        <v>16</v>
      </c>
      <c r="AK108" s="1" t="e">
        <f t="shared" si="56"/>
        <v>#N/A</v>
      </c>
      <c r="AL108" s="1" t="e">
        <f t="shared" si="57"/>
        <v>#N/A</v>
      </c>
      <c r="AM108" s="1" t="e">
        <f t="shared" si="58"/>
        <v>#N/A</v>
      </c>
      <c r="AN108" s="1" t="e">
        <f t="shared" si="59"/>
        <v>#N/A</v>
      </c>
      <c r="AO108" s="1" t="e">
        <f t="shared" si="60"/>
        <v>#N/A</v>
      </c>
      <c r="AP108" s="1" t="e">
        <f t="shared" si="61"/>
        <v>#N/A</v>
      </c>
      <c r="AQ108" s="1">
        <f t="shared" si="62"/>
        <v>16</v>
      </c>
      <c r="AS108" s="1" t="e">
        <f>IF(Table1[[#This Row],[Type (TX, RX, TRX, Oscillator)]]="Relay",Table1[[#This Row],[Frequency (GHz)]],#N/A)</f>
        <v>#N/A</v>
      </c>
      <c r="AT108" s="30" t="e">
        <f>IF(Table1[[#This Row],[Type (TX, RX, TRX, Oscillator)]]="Relay",DATE(Table1[[#This Row],[Year ]],Table1[[#This Row],[Month]],1),#N/A)</f>
        <v>#N/A</v>
      </c>
      <c r="AU108" s="1" t="e">
        <f>IF(Table1[[#This Row],[Type (TX, RX, TRX, Oscillator)]]="Relay",Table1[[#This Row],[Total Number of Elements (TX + RX)]],#N/A)</f>
        <v>#N/A</v>
      </c>
      <c r="AV108" s="1" t="e">
        <f t="shared" si="63"/>
        <v>#N/A</v>
      </c>
      <c r="AW108" s="1" t="e">
        <f t="shared" si="64"/>
        <v>#N/A</v>
      </c>
      <c r="AX108" s="1" t="e">
        <f t="shared" si="65"/>
        <v>#N/A</v>
      </c>
      <c r="AY108" s="1" t="e">
        <f t="shared" si="66"/>
        <v>#N/A</v>
      </c>
      <c r="AZ108" s="1" t="e">
        <f t="shared" si="67"/>
        <v>#N/A</v>
      </c>
      <c r="BA108" s="1" t="e">
        <f t="shared" si="68"/>
        <v>#N/A</v>
      </c>
      <c r="BB108" s="1" t="e">
        <f t="shared" si="69"/>
        <v>#N/A</v>
      </c>
    </row>
    <row r="109" spans="1:54" x14ac:dyDescent="0.2">
      <c r="A109" s="1" t="e">
        <f>IF(OR(Table1[[#This Row],[Type (TX, RX, TRX, Oscillator)]]="TX", Table1[[#This Row],[Type (TX, RX, TRX, Oscillator)]]="TX FE"),Table1[[#This Row],[Frequency (GHz)]],#N/A)</f>
        <v>#N/A</v>
      </c>
      <c r="B109" s="30" t="e">
        <f>IF(OR(Table1[[#This Row],[Type (TX, RX, TRX, Oscillator)]]="TX", Table1[[#This Row],[Type (TX, RX, TRX, Oscillator)]]="TX FE"),DATE(Table1[[#This Row],[Year ]],Table1[[#This Row],[Month]],1),#N/A)</f>
        <v>#N/A</v>
      </c>
      <c r="C109" s="1" t="e">
        <f>IF(OR(Table1[[#This Row],[Type (TX, RX, TRX, Oscillator)]]="TX",Table1[[#This Row],[Type (TX, RX, TRX, Oscillator)]]="TX FE"),Table1[[#This Row],[Total Number of Elements (TX + RX)]],#N/A)</f>
        <v>#N/A</v>
      </c>
      <c r="D109" s="1" t="e">
        <f t="shared" si="35"/>
        <v>#N/A</v>
      </c>
      <c r="E109" s="1" t="e">
        <f t="shared" si="36"/>
        <v>#N/A</v>
      </c>
      <c r="F109" s="1" t="e">
        <f t="shared" si="37"/>
        <v>#N/A</v>
      </c>
      <c r="G109" s="1" t="e">
        <f t="shared" si="38"/>
        <v>#N/A</v>
      </c>
      <c r="H109" s="1" t="e">
        <f t="shared" si="39"/>
        <v>#N/A</v>
      </c>
      <c r="I109" s="1" t="e">
        <f t="shared" si="40"/>
        <v>#N/A</v>
      </c>
      <c r="J109" s="1" t="e">
        <f t="shared" si="41"/>
        <v>#N/A</v>
      </c>
      <c r="L109" s="1" t="e">
        <f>IF(OR(Table1[[#This Row],[Type (TX, RX, TRX, Oscillator)]]="RX", Table1[[#This Row],[Type (TX, RX, TRX, Oscillator)]]="RX FE"),Table1[[#This Row],[Frequency (GHz)]],#N/A)</f>
        <v>#N/A</v>
      </c>
      <c r="M109" s="30" t="e">
        <f>IF(OR(Table1[[#This Row],[Type (TX, RX, TRX, Oscillator)]]="RX", Table1[[#This Row],[Type (TX, RX, TRX, Oscillator)]]="RX FE"),DATE(Table1[[#This Row],[Year ]],Table1[[#This Row],[Month]],1),#N/A)</f>
        <v>#N/A</v>
      </c>
      <c r="N109" s="1" t="e">
        <f>IF(OR(Table1[[#This Row],[Type (TX, RX, TRX, Oscillator)]]="RX", Table1[[#This Row],[Type (TX, RX, TRX, Oscillator)]]="RX FE"),Table1[[#This Row],[Total Number of Elements (TX + RX)]],#N/A)</f>
        <v>#N/A</v>
      </c>
      <c r="O109" s="1" t="e">
        <f t="shared" si="42"/>
        <v>#N/A</v>
      </c>
      <c r="P109" s="1" t="e">
        <f t="shared" si="43"/>
        <v>#N/A</v>
      </c>
      <c r="Q109" s="1" t="e">
        <f t="shared" si="44"/>
        <v>#N/A</v>
      </c>
      <c r="R109" s="1" t="e">
        <f t="shared" si="45"/>
        <v>#N/A</v>
      </c>
      <c r="S109" s="1" t="e">
        <f t="shared" si="46"/>
        <v>#N/A</v>
      </c>
      <c r="T109" s="1" t="e">
        <f t="shared" si="47"/>
        <v>#N/A</v>
      </c>
      <c r="U109" s="1" t="e">
        <f t="shared" si="48"/>
        <v>#N/A</v>
      </c>
      <c r="W109" s="1" t="e">
        <f>IF(OR(Table1[[#This Row],[Type (TX, RX, TRX, Oscillator)]]="TRX",Table1[[#This Row],[Type (TX, RX, TRX, Oscillator)]]="TRX FE"),Table1[[#This Row],[Frequency (GHz)]],#N/A)</f>
        <v>#N/A</v>
      </c>
      <c r="X109" s="30" t="e">
        <f>IF(OR(Table1[[#This Row],[Type (TX, RX, TRX, Oscillator)]]="TRX", Table1[[#This Row],[Type (TX, RX, TRX, Oscillator)]]="TRX FE"),DATE(Table1[[#This Row],[Year ]],Table1[[#This Row],[Month]],1),#N/A)</f>
        <v>#N/A</v>
      </c>
      <c r="Y109" s="1" t="e">
        <f>IF(OR(Table1[[#This Row],[Type (TX, RX, TRX, Oscillator)]]="TRX", Table1[[#This Row],[Type (TX, RX, TRX, Oscillator)]]="TRX FE"),Table1[[#This Row],[Total Number of Elements (TX + RX)]],#N/A)</f>
        <v>#N/A</v>
      </c>
      <c r="Z109" s="1" t="e">
        <f t="shared" si="49"/>
        <v>#N/A</v>
      </c>
      <c r="AA109" s="1" t="e">
        <f t="shared" si="50"/>
        <v>#N/A</v>
      </c>
      <c r="AB109" s="1" t="e">
        <f t="shared" si="51"/>
        <v>#N/A</v>
      </c>
      <c r="AC109" s="1" t="e">
        <f t="shared" si="52"/>
        <v>#N/A</v>
      </c>
      <c r="AD109" s="1" t="e">
        <f t="shared" si="53"/>
        <v>#N/A</v>
      </c>
      <c r="AE109" s="1" t="e">
        <f t="shared" si="54"/>
        <v>#N/A</v>
      </c>
      <c r="AF109" s="1" t="e">
        <f t="shared" si="55"/>
        <v>#N/A</v>
      </c>
      <c r="AH109" s="1">
        <f>IF(Table1[[#This Row],[Type (TX, RX, TRX, Oscillator)]]="Oscillator",Table1[[#This Row],[Frequency (GHz)]],#N/A)</f>
        <v>416</v>
      </c>
      <c r="AI109" s="30">
        <f>IF(Table1[[#This Row],[Type (TX, RX, TRX, Oscillator)]]="Oscillator",DATE(Table1[[#This Row],[Year ]],Table1[[#This Row],[Month]],1),#N/A)</f>
        <v>44743</v>
      </c>
      <c r="AJ109" s="1">
        <f>IF(Table1[[#This Row],[Type (TX, RX, TRX, Oscillator)]]="Oscillator",Table1[[#This Row],[Total Number of Elements (TX + RX)]],#N/A)</f>
        <v>16</v>
      </c>
      <c r="AK109" s="1" t="e">
        <f t="shared" si="56"/>
        <v>#N/A</v>
      </c>
      <c r="AL109" s="1" t="e">
        <f t="shared" si="57"/>
        <v>#N/A</v>
      </c>
      <c r="AM109" s="1" t="e">
        <f t="shared" si="58"/>
        <v>#N/A</v>
      </c>
      <c r="AN109" s="1" t="e">
        <f t="shared" si="59"/>
        <v>#N/A</v>
      </c>
      <c r="AO109" s="1" t="e">
        <f t="shared" si="60"/>
        <v>#N/A</v>
      </c>
      <c r="AP109" s="1" t="e">
        <f t="shared" si="61"/>
        <v>#N/A</v>
      </c>
      <c r="AQ109" s="1">
        <f t="shared" si="62"/>
        <v>16</v>
      </c>
      <c r="AS109" s="1" t="e">
        <f>IF(Table1[[#This Row],[Type (TX, RX, TRX, Oscillator)]]="Relay",Table1[[#This Row],[Frequency (GHz)]],#N/A)</f>
        <v>#N/A</v>
      </c>
      <c r="AT109" s="30" t="e">
        <f>IF(Table1[[#This Row],[Type (TX, RX, TRX, Oscillator)]]="Relay",DATE(Table1[[#This Row],[Year ]],Table1[[#This Row],[Month]],1),#N/A)</f>
        <v>#N/A</v>
      </c>
      <c r="AU109" s="1" t="e">
        <f>IF(Table1[[#This Row],[Type (TX, RX, TRX, Oscillator)]]="Relay",Table1[[#This Row],[Total Number of Elements (TX + RX)]],#N/A)</f>
        <v>#N/A</v>
      </c>
      <c r="AV109" s="1" t="e">
        <f t="shared" si="63"/>
        <v>#N/A</v>
      </c>
      <c r="AW109" s="1" t="e">
        <f t="shared" si="64"/>
        <v>#N/A</v>
      </c>
      <c r="AX109" s="1" t="e">
        <f t="shared" si="65"/>
        <v>#N/A</v>
      </c>
      <c r="AY109" s="1" t="e">
        <f t="shared" si="66"/>
        <v>#N/A</v>
      </c>
      <c r="AZ109" s="1" t="e">
        <f t="shared" si="67"/>
        <v>#N/A</v>
      </c>
      <c r="BA109" s="1" t="e">
        <f t="shared" si="68"/>
        <v>#N/A</v>
      </c>
      <c r="BB109" s="1" t="e">
        <f t="shared" si="69"/>
        <v>#N/A</v>
      </c>
    </row>
    <row r="110" spans="1:54" x14ac:dyDescent="0.2">
      <c r="A110" s="1">
        <f>IF(OR(Table1[[#This Row],[Type (TX, RX, TRX, Oscillator)]]="TX", Table1[[#This Row],[Type (TX, RX, TRX, Oscillator)]]="TX FE"),Table1[[#This Row],[Frequency (GHz)]],#N/A)</f>
        <v>93</v>
      </c>
      <c r="B110" s="30">
        <f>IF(OR(Table1[[#This Row],[Type (TX, RX, TRX, Oscillator)]]="TX", Table1[[#This Row],[Type (TX, RX, TRX, Oscillator)]]="TX FE"),DATE(Table1[[#This Row],[Year ]],Table1[[#This Row],[Month]],1),#N/A)</f>
        <v>44743</v>
      </c>
      <c r="C110" s="1">
        <f>IF(OR(Table1[[#This Row],[Type (TX, RX, TRX, Oscillator)]]="TX",Table1[[#This Row],[Type (TX, RX, TRX, Oscillator)]]="TX FE"),Table1[[#This Row],[Total Number of Elements (TX + RX)]],#N/A)</f>
        <v>4</v>
      </c>
      <c r="D110" s="1" t="e">
        <f t="shared" si="35"/>
        <v>#N/A</v>
      </c>
      <c r="E110" s="1" t="e">
        <f t="shared" si="36"/>
        <v>#N/A</v>
      </c>
      <c r="F110" s="1" t="e">
        <f t="shared" si="37"/>
        <v>#N/A</v>
      </c>
      <c r="G110" s="1">
        <f t="shared" si="38"/>
        <v>4</v>
      </c>
      <c r="H110" s="1" t="e">
        <f t="shared" si="39"/>
        <v>#N/A</v>
      </c>
      <c r="I110" s="1" t="e">
        <f t="shared" si="40"/>
        <v>#N/A</v>
      </c>
      <c r="J110" s="1" t="e">
        <f t="shared" si="41"/>
        <v>#N/A</v>
      </c>
      <c r="L110" s="1" t="e">
        <f>IF(OR(Table1[[#This Row],[Type (TX, RX, TRX, Oscillator)]]="RX", Table1[[#This Row],[Type (TX, RX, TRX, Oscillator)]]="RX FE"),Table1[[#This Row],[Frequency (GHz)]],#N/A)</f>
        <v>#N/A</v>
      </c>
      <c r="M110" s="30" t="e">
        <f>IF(OR(Table1[[#This Row],[Type (TX, RX, TRX, Oscillator)]]="RX", Table1[[#This Row],[Type (TX, RX, TRX, Oscillator)]]="RX FE"),DATE(Table1[[#This Row],[Year ]],Table1[[#This Row],[Month]],1),#N/A)</f>
        <v>#N/A</v>
      </c>
      <c r="N110" s="1" t="e">
        <f>IF(OR(Table1[[#This Row],[Type (TX, RX, TRX, Oscillator)]]="RX", Table1[[#This Row],[Type (TX, RX, TRX, Oscillator)]]="RX FE"),Table1[[#This Row],[Total Number of Elements (TX + RX)]],#N/A)</f>
        <v>#N/A</v>
      </c>
      <c r="O110" s="1" t="e">
        <f t="shared" si="42"/>
        <v>#N/A</v>
      </c>
      <c r="P110" s="1" t="e">
        <f t="shared" si="43"/>
        <v>#N/A</v>
      </c>
      <c r="Q110" s="1" t="e">
        <f t="shared" si="44"/>
        <v>#N/A</v>
      </c>
      <c r="R110" s="1" t="e">
        <f t="shared" si="45"/>
        <v>#N/A</v>
      </c>
      <c r="S110" s="1" t="e">
        <f t="shared" si="46"/>
        <v>#N/A</v>
      </c>
      <c r="T110" s="1" t="e">
        <f t="shared" si="47"/>
        <v>#N/A</v>
      </c>
      <c r="U110" s="1" t="e">
        <f t="shared" si="48"/>
        <v>#N/A</v>
      </c>
      <c r="W110" s="1" t="e">
        <f>IF(OR(Table1[[#This Row],[Type (TX, RX, TRX, Oscillator)]]="TRX",Table1[[#This Row],[Type (TX, RX, TRX, Oscillator)]]="TRX FE"),Table1[[#This Row],[Frequency (GHz)]],#N/A)</f>
        <v>#N/A</v>
      </c>
      <c r="X110" s="30" t="e">
        <f>IF(OR(Table1[[#This Row],[Type (TX, RX, TRX, Oscillator)]]="TRX", Table1[[#This Row],[Type (TX, RX, TRX, Oscillator)]]="TRX FE"),DATE(Table1[[#This Row],[Year ]],Table1[[#This Row],[Month]],1),#N/A)</f>
        <v>#N/A</v>
      </c>
      <c r="Y110" s="1" t="e">
        <f>IF(OR(Table1[[#This Row],[Type (TX, RX, TRX, Oscillator)]]="TRX", Table1[[#This Row],[Type (TX, RX, TRX, Oscillator)]]="TRX FE"),Table1[[#This Row],[Total Number of Elements (TX + RX)]],#N/A)</f>
        <v>#N/A</v>
      </c>
      <c r="Z110" s="1" t="e">
        <f t="shared" si="49"/>
        <v>#N/A</v>
      </c>
      <c r="AA110" s="1" t="e">
        <f t="shared" si="50"/>
        <v>#N/A</v>
      </c>
      <c r="AB110" s="1" t="e">
        <f t="shared" si="51"/>
        <v>#N/A</v>
      </c>
      <c r="AC110" s="1" t="e">
        <f t="shared" si="52"/>
        <v>#N/A</v>
      </c>
      <c r="AD110" s="1" t="e">
        <f t="shared" si="53"/>
        <v>#N/A</v>
      </c>
      <c r="AE110" s="1" t="e">
        <f t="shared" si="54"/>
        <v>#N/A</v>
      </c>
      <c r="AF110" s="1" t="e">
        <f t="shared" si="55"/>
        <v>#N/A</v>
      </c>
      <c r="AH110" s="1" t="e">
        <f>IF(Table1[[#This Row],[Type (TX, RX, TRX, Oscillator)]]="Oscillator",Table1[[#This Row],[Frequency (GHz)]],#N/A)</f>
        <v>#N/A</v>
      </c>
      <c r="AI110" s="30" t="e">
        <f>IF(Table1[[#This Row],[Type (TX, RX, TRX, Oscillator)]]="Oscillator",DATE(Table1[[#This Row],[Year ]],Table1[[#This Row],[Month]],1),#N/A)</f>
        <v>#N/A</v>
      </c>
      <c r="AJ110" s="1" t="e">
        <f>IF(Table1[[#This Row],[Type (TX, RX, TRX, Oscillator)]]="Oscillator",Table1[[#This Row],[Total Number of Elements (TX + RX)]],#N/A)</f>
        <v>#N/A</v>
      </c>
      <c r="AK110" s="1" t="e">
        <f t="shared" si="56"/>
        <v>#N/A</v>
      </c>
      <c r="AL110" s="1" t="e">
        <f t="shared" si="57"/>
        <v>#N/A</v>
      </c>
      <c r="AM110" s="1" t="e">
        <f t="shared" si="58"/>
        <v>#N/A</v>
      </c>
      <c r="AN110" s="1" t="e">
        <f t="shared" si="59"/>
        <v>#N/A</v>
      </c>
      <c r="AO110" s="1" t="e">
        <f t="shared" si="60"/>
        <v>#N/A</v>
      </c>
      <c r="AP110" s="1" t="e">
        <f t="shared" si="61"/>
        <v>#N/A</v>
      </c>
      <c r="AQ110" s="1" t="e">
        <f t="shared" si="62"/>
        <v>#N/A</v>
      </c>
      <c r="AS110" s="1" t="e">
        <f>IF(Table1[[#This Row],[Type (TX, RX, TRX, Oscillator)]]="Relay",Table1[[#This Row],[Frequency (GHz)]],#N/A)</f>
        <v>#N/A</v>
      </c>
      <c r="AT110" s="30" t="e">
        <f>IF(Table1[[#This Row],[Type (TX, RX, TRX, Oscillator)]]="Relay",DATE(Table1[[#This Row],[Year ]],Table1[[#This Row],[Month]],1),#N/A)</f>
        <v>#N/A</v>
      </c>
      <c r="AU110" s="1" t="e">
        <f>IF(Table1[[#This Row],[Type (TX, RX, TRX, Oscillator)]]="Relay",Table1[[#This Row],[Total Number of Elements (TX + RX)]],#N/A)</f>
        <v>#N/A</v>
      </c>
      <c r="AV110" s="1" t="e">
        <f t="shared" si="63"/>
        <v>#N/A</v>
      </c>
      <c r="AW110" s="1" t="e">
        <f t="shared" si="64"/>
        <v>#N/A</v>
      </c>
      <c r="AX110" s="1" t="e">
        <f t="shared" si="65"/>
        <v>#N/A</v>
      </c>
      <c r="AY110" s="1" t="e">
        <f t="shared" si="66"/>
        <v>#N/A</v>
      </c>
      <c r="AZ110" s="1" t="e">
        <f t="shared" si="67"/>
        <v>#N/A</v>
      </c>
      <c r="BA110" s="1" t="e">
        <f t="shared" si="68"/>
        <v>#N/A</v>
      </c>
      <c r="BB110" s="1" t="e">
        <f t="shared" si="69"/>
        <v>#N/A</v>
      </c>
    </row>
    <row r="111" spans="1:54" x14ac:dyDescent="0.2">
      <c r="A111" s="1" t="e">
        <f>IF(OR(Table1[[#This Row],[Type (TX, RX, TRX, Oscillator)]]="TX", Table1[[#This Row],[Type (TX, RX, TRX, Oscillator)]]="TX FE"),Table1[[#This Row],[Frequency (GHz)]],#N/A)</f>
        <v>#N/A</v>
      </c>
      <c r="B111" s="30" t="e">
        <f>IF(OR(Table1[[#This Row],[Type (TX, RX, TRX, Oscillator)]]="TX", Table1[[#This Row],[Type (TX, RX, TRX, Oscillator)]]="TX FE"),DATE(Table1[[#This Row],[Year ]],Table1[[#This Row],[Month]],1),#N/A)</f>
        <v>#N/A</v>
      </c>
      <c r="C111" s="1" t="e">
        <f>IF(OR(Table1[[#This Row],[Type (TX, RX, TRX, Oscillator)]]="TX",Table1[[#This Row],[Type (TX, RX, TRX, Oscillator)]]="TX FE"),Table1[[#This Row],[Total Number of Elements (TX + RX)]],#N/A)</f>
        <v>#N/A</v>
      </c>
      <c r="D111" s="1" t="e">
        <f t="shared" si="35"/>
        <v>#N/A</v>
      </c>
      <c r="E111" s="1" t="e">
        <f t="shared" si="36"/>
        <v>#N/A</v>
      </c>
      <c r="F111" s="1" t="e">
        <f t="shared" si="37"/>
        <v>#N/A</v>
      </c>
      <c r="G111" s="1" t="e">
        <f t="shared" si="38"/>
        <v>#N/A</v>
      </c>
      <c r="H111" s="1" t="e">
        <f t="shared" si="39"/>
        <v>#N/A</v>
      </c>
      <c r="I111" s="1" t="e">
        <f t="shared" si="40"/>
        <v>#N/A</v>
      </c>
      <c r="J111" s="1" t="e">
        <f t="shared" si="41"/>
        <v>#N/A</v>
      </c>
      <c r="L111" s="1">
        <f>IF(OR(Table1[[#This Row],[Type (TX, RX, TRX, Oscillator)]]="RX", Table1[[#This Row],[Type (TX, RX, TRX, Oscillator)]]="RX FE"),Table1[[#This Row],[Frequency (GHz)]],#N/A)</f>
        <v>93</v>
      </c>
      <c r="M111" s="30">
        <f>IF(OR(Table1[[#This Row],[Type (TX, RX, TRX, Oscillator)]]="RX", Table1[[#This Row],[Type (TX, RX, TRX, Oscillator)]]="RX FE"),DATE(Table1[[#This Row],[Year ]],Table1[[#This Row],[Month]],1),#N/A)</f>
        <v>44743</v>
      </c>
      <c r="N111" s="1">
        <f>IF(OR(Table1[[#This Row],[Type (TX, RX, TRX, Oscillator)]]="RX", Table1[[#This Row],[Type (TX, RX, TRX, Oscillator)]]="RX FE"),Table1[[#This Row],[Total Number of Elements (TX + RX)]],#N/A)</f>
        <v>4</v>
      </c>
      <c r="O111" s="1" t="e">
        <f t="shared" si="42"/>
        <v>#N/A</v>
      </c>
      <c r="P111" s="1" t="e">
        <f t="shared" si="43"/>
        <v>#N/A</v>
      </c>
      <c r="Q111" s="1" t="e">
        <f t="shared" si="44"/>
        <v>#N/A</v>
      </c>
      <c r="R111" s="1">
        <f t="shared" si="45"/>
        <v>4</v>
      </c>
      <c r="S111" s="1" t="e">
        <f t="shared" si="46"/>
        <v>#N/A</v>
      </c>
      <c r="T111" s="1" t="e">
        <f t="shared" si="47"/>
        <v>#N/A</v>
      </c>
      <c r="U111" s="1" t="e">
        <f t="shared" si="48"/>
        <v>#N/A</v>
      </c>
      <c r="W111" s="1" t="e">
        <f>IF(OR(Table1[[#This Row],[Type (TX, RX, TRX, Oscillator)]]="TRX",Table1[[#This Row],[Type (TX, RX, TRX, Oscillator)]]="TRX FE"),Table1[[#This Row],[Frequency (GHz)]],#N/A)</f>
        <v>#N/A</v>
      </c>
      <c r="X111" s="30" t="e">
        <f>IF(OR(Table1[[#This Row],[Type (TX, RX, TRX, Oscillator)]]="TRX", Table1[[#This Row],[Type (TX, RX, TRX, Oscillator)]]="TRX FE"),DATE(Table1[[#This Row],[Year ]],Table1[[#This Row],[Month]],1),#N/A)</f>
        <v>#N/A</v>
      </c>
      <c r="Y111" s="1" t="e">
        <f>IF(OR(Table1[[#This Row],[Type (TX, RX, TRX, Oscillator)]]="TRX", Table1[[#This Row],[Type (TX, RX, TRX, Oscillator)]]="TRX FE"),Table1[[#This Row],[Total Number of Elements (TX + RX)]],#N/A)</f>
        <v>#N/A</v>
      </c>
      <c r="Z111" s="1" t="e">
        <f t="shared" si="49"/>
        <v>#N/A</v>
      </c>
      <c r="AA111" s="1" t="e">
        <f t="shared" si="50"/>
        <v>#N/A</v>
      </c>
      <c r="AB111" s="1" t="e">
        <f t="shared" si="51"/>
        <v>#N/A</v>
      </c>
      <c r="AC111" s="1" t="e">
        <f t="shared" si="52"/>
        <v>#N/A</v>
      </c>
      <c r="AD111" s="1" t="e">
        <f t="shared" si="53"/>
        <v>#N/A</v>
      </c>
      <c r="AE111" s="1" t="e">
        <f t="shared" si="54"/>
        <v>#N/A</v>
      </c>
      <c r="AF111" s="1" t="e">
        <f t="shared" si="55"/>
        <v>#N/A</v>
      </c>
      <c r="AH111" s="1" t="e">
        <f>IF(Table1[[#This Row],[Type (TX, RX, TRX, Oscillator)]]="Oscillator",Table1[[#This Row],[Frequency (GHz)]],#N/A)</f>
        <v>#N/A</v>
      </c>
      <c r="AI111" s="30" t="e">
        <f>IF(Table1[[#This Row],[Type (TX, RX, TRX, Oscillator)]]="Oscillator",DATE(Table1[[#This Row],[Year ]],Table1[[#This Row],[Month]],1),#N/A)</f>
        <v>#N/A</v>
      </c>
      <c r="AJ111" s="1" t="e">
        <f>IF(Table1[[#This Row],[Type (TX, RX, TRX, Oscillator)]]="Oscillator",Table1[[#This Row],[Total Number of Elements (TX + RX)]],#N/A)</f>
        <v>#N/A</v>
      </c>
      <c r="AK111" s="1" t="e">
        <f t="shared" si="56"/>
        <v>#N/A</v>
      </c>
      <c r="AL111" s="1" t="e">
        <f t="shared" si="57"/>
        <v>#N/A</v>
      </c>
      <c r="AM111" s="1" t="e">
        <f t="shared" si="58"/>
        <v>#N/A</v>
      </c>
      <c r="AN111" s="1" t="e">
        <f t="shared" si="59"/>
        <v>#N/A</v>
      </c>
      <c r="AO111" s="1" t="e">
        <f t="shared" si="60"/>
        <v>#N/A</v>
      </c>
      <c r="AP111" s="1" t="e">
        <f t="shared" si="61"/>
        <v>#N/A</v>
      </c>
      <c r="AQ111" s="1" t="e">
        <f t="shared" si="62"/>
        <v>#N/A</v>
      </c>
      <c r="AS111" s="1" t="e">
        <f>IF(Table1[[#This Row],[Type (TX, RX, TRX, Oscillator)]]="Relay",Table1[[#This Row],[Frequency (GHz)]],#N/A)</f>
        <v>#N/A</v>
      </c>
      <c r="AT111" s="30" t="e">
        <f>IF(Table1[[#This Row],[Type (TX, RX, TRX, Oscillator)]]="Relay",DATE(Table1[[#This Row],[Year ]],Table1[[#This Row],[Month]],1),#N/A)</f>
        <v>#N/A</v>
      </c>
      <c r="AU111" s="1" t="e">
        <f>IF(Table1[[#This Row],[Type (TX, RX, TRX, Oscillator)]]="Relay",Table1[[#This Row],[Total Number of Elements (TX + RX)]],#N/A)</f>
        <v>#N/A</v>
      </c>
      <c r="AV111" s="1" t="e">
        <f t="shared" si="63"/>
        <v>#N/A</v>
      </c>
      <c r="AW111" s="1" t="e">
        <f t="shared" si="64"/>
        <v>#N/A</v>
      </c>
      <c r="AX111" s="1" t="e">
        <f t="shared" si="65"/>
        <v>#N/A</v>
      </c>
      <c r="AY111" s="1" t="e">
        <f t="shared" si="66"/>
        <v>#N/A</v>
      </c>
      <c r="AZ111" s="1" t="e">
        <f t="shared" si="67"/>
        <v>#N/A</v>
      </c>
      <c r="BA111" s="1" t="e">
        <f t="shared" si="68"/>
        <v>#N/A</v>
      </c>
      <c r="BB111" s="1" t="e">
        <f t="shared" si="69"/>
        <v>#N/A</v>
      </c>
    </row>
    <row r="112" spans="1:54" x14ac:dyDescent="0.2">
      <c r="A112" s="1" t="e">
        <f>IF(OR(Table1[[#This Row],[Type (TX, RX, TRX, Oscillator)]]="TX", Table1[[#This Row],[Type (TX, RX, TRX, Oscillator)]]="TX FE"),Table1[[#This Row],[Frequency (GHz)]],#N/A)</f>
        <v>#N/A</v>
      </c>
      <c r="B112" s="30" t="e">
        <f>IF(OR(Table1[[#This Row],[Type (TX, RX, TRX, Oscillator)]]="TX", Table1[[#This Row],[Type (TX, RX, TRX, Oscillator)]]="TX FE"),DATE(Table1[[#This Row],[Year ]],Table1[[#This Row],[Month]],1),#N/A)</f>
        <v>#N/A</v>
      </c>
      <c r="C112" s="1" t="e">
        <f>IF(OR(Table1[[#This Row],[Type (TX, RX, TRX, Oscillator)]]="TX",Table1[[#This Row],[Type (TX, RX, TRX, Oscillator)]]="TX FE"),Table1[[#This Row],[Total Number of Elements (TX + RX)]],#N/A)</f>
        <v>#N/A</v>
      </c>
      <c r="D112" s="1" t="e">
        <f t="shared" si="35"/>
        <v>#N/A</v>
      </c>
      <c r="E112" s="1" t="e">
        <f t="shared" si="36"/>
        <v>#N/A</v>
      </c>
      <c r="F112" s="1" t="e">
        <f t="shared" si="37"/>
        <v>#N/A</v>
      </c>
      <c r="G112" s="1" t="e">
        <f t="shared" si="38"/>
        <v>#N/A</v>
      </c>
      <c r="H112" s="1" t="e">
        <f t="shared" si="39"/>
        <v>#N/A</v>
      </c>
      <c r="I112" s="1" t="e">
        <f t="shared" si="40"/>
        <v>#N/A</v>
      </c>
      <c r="J112" s="1" t="e">
        <f t="shared" si="41"/>
        <v>#N/A</v>
      </c>
      <c r="L112" s="1" t="e">
        <f>IF(OR(Table1[[#This Row],[Type (TX, RX, TRX, Oscillator)]]="RX", Table1[[#This Row],[Type (TX, RX, TRX, Oscillator)]]="RX FE"),Table1[[#This Row],[Frequency (GHz)]],#N/A)</f>
        <v>#N/A</v>
      </c>
      <c r="M112" s="30" t="e">
        <f>IF(OR(Table1[[#This Row],[Type (TX, RX, TRX, Oscillator)]]="RX", Table1[[#This Row],[Type (TX, RX, TRX, Oscillator)]]="RX FE"),DATE(Table1[[#This Row],[Year ]],Table1[[#This Row],[Month]],1),#N/A)</f>
        <v>#N/A</v>
      </c>
      <c r="N112" s="1" t="e">
        <f>IF(OR(Table1[[#This Row],[Type (TX, RX, TRX, Oscillator)]]="RX", Table1[[#This Row],[Type (TX, RX, TRX, Oscillator)]]="RX FE"),Table1[[#This Row],[Total Number of Elements (TX + RX)]],#N/A)</f>
        <v>#N/A</v>
      </c>
      <c r="O112" s="1" t="e">
        <f t="shared" si="42"/>
        <v>#N/A</v>
      </c>
      <c r="P112" s="1" t="e">
        <f t="shared" si="43"/>
        <v>#N/A</v>
      </c>
      <c r="Q112" s="1" t="e">
        <f t="shared" si="44"/>
        <v>#N/A</v>
      </c>
      <c r="R112" s="1" t="e">
        <f t="shared" si="45"/>
        <v>#N/A</v>
      </c>
      <c r="S112" s="1" t="e">
        <f t="shared" si="46"/>
        <v>#N/A</v>
      </c>
      <c r="T112" s="1" t="e">
        <f t="shared" si="47"/>
        <v>#N/A</v>
      </c>
      <c r="U112" s="1" t="e">
        <f t="shared" si="48"/>
        <v>#N/A</v>
      </c>
      <c r="W112" s="1">
        <f>IF(OR(Table1[[#This Row],[Type (TX, RX, TRX, Oscillator)]]="TRX",Table1[[#This Row],[Type (TX, RX, TRX, Oscillator)]]="TRX FE"),Table1[[#This Row],[Frequency (GHz)]],#N/A)</f>
        <v>27</v>
      </c>
      <c r="X112" s="30">
        <f>IF(OR(Table1[[#This Row],[Type (TX, RX, TRX, Oscillator)]]="TRX", Table1[[#This Row],[Type (TX, RX, TRX, Oscillator)]]="TRX FE"),DATE(Table1[[#This Row],[Year ]],Table1[[#This Row],[Month]],1),#N/A)</f>
        <v>44805</v>
      </c>
      <c r="Y112" s="1">
        <f>IF(OR(Table1[[#This Row],[Type (TX, RX, TRX, Oscillator)]]="TRX", Table1[[#This Row],[Type (TX, RX, TRX, Oscillator)]]="TRX FE"),Table1[[#This Row],[Total Number of Elements (TX + RX)]],#N/A)</f>
        <v>512</v>
      </c>
      <c r="Z112" s="1" t="e">
        <f t="shared" si="49"/>
        <v>#N/A</v>
      </c>
      <c r="AA112" s="1">
        <f t="shared" si="50"/>
        <v>512</v>
      </c>
      <c r="AB112" s="1" t="e">
        <f t="shared" si="51"/>
        <v>#N/A</v>
      </c>
      <c r="AC112" s="1" t="e">
        <f t="shared" si="52"/>
        <v>#N/A</v>
      </c>
      <c r="AD112" s="1" t="e">
        <f t="shared" si="53"/>
        <v>#N/A</v>
      </c>
      <c r="AE112" s="1" t="e">
        <f t="shared" si="54"/>
        <v>#N/A</v>
      </c>
      <c r="AF112" s="1" t="e">
        <f t="shared" si="55"/>
        <v>#N/A</v>
      </c>
      <c r="AH112" s="1" t="e">
        <f>IF(Table1[[#This Row],[Type (TX, RX, TRX, Oscillator)]]="Oscillator",Table1[[#This Row],[Frequency (GHz)]],#N/A)</f>
        <v>#N/A</v>
      </c>
      <c r="AI112" s="30" t="e">
        <f>IF(Table1[[#This Row],[Type (TX, RX, TRX, Oscillator)]]="Oscillator",DATE(Table1[[#This Row],[Year ]],Table1[[#This Row],[Month]],1),#N/A)</f>
        <v>#N/A</v>
      </c>
      <c r="AJ112" s="1" t="e">
        <f>IF(Table1[[#This Row],[Type (TX, RX, TRX, Oscillator)]]="Oscillator",Table1[[#This Row],[Total Number of Elements (TX + RX)]],#N/A)</f>
        <v>#N/A</v>
      </c>
      <c r="AK112" s="1" t="e">
        <f t="shared" si="56"/>
        <v>#N/A</v>
      </c>
      <c r="AL112" s="1" t="e">
        <f t="shared" si="57"/>
        <v>#N/A</v>
      </c>
      <c r="AM112" s="1" t="e">
        <f t="shared" si="58"/>
        <v>#N/A</v>
      </c>
      <c r="AN112" s="1" t="e">
        <f t="shared" si="59"/>
        <v>#N/A</v>
      </c>
      <c r="AO112" s="1" t="e">
        <f t="shared" si="60"/>
        <v>#N/A</v>
      </c>
      <c r="AP112" s="1" t="e">
        <f t="shared" si="61"/>
        <v>#N/A</v>
      </c>
      <c r="AQ112" s="1" t="e">
        <f t="shared" si="62"/>
        <v>#N/A</v>
      </c>
      <c r="AS112" s="1" t="e">
        <f>IF(Table1[[#This Row],[Type (TX, RX, TRX, Oscillator)]]="Relay",Table1[[#This Row],[Frequency (GHz)]],#N/A)</f>
        <v>#N/A</v>
      </c>
      <c r="AT112" s="30" t="e">
        <f>IF(Table1[[#This Row],[Type (TX, RX, TRX, Oscillator)]]="Relay",DATE(Table1[[#This Row],[Year ]],Table1[[#This Row],[Month]],1),#N/A)</f>
        <v>#N/A</v>
      </c>
      <c r="AU112" s="1" t="e">
        <f>IF(Table1[[#This Row],[Type (TX, RX, TRX, Oscillator)]]="Relay",Table1[[#This Row],[Total Number of Elements (TX + RX)]],#N/A)</f>
        <v>#N/A</v>
      </c>
      <c r="AV112" s="1" t="e">
        <f t="shared" si="63"/>
        <v>#N/A</v>
      </c>
      <c r="AW112" s="1" t="e">
        <f t="shared" si="64"/>
        <v>#N/A</v>
      </c>
      <c r="AX112" s="1" t="e">
        <f t="shared" si="65"/>
        <v>#N/A</v>
      </c>
      <c r="AY112" s="1" t="e">
        <f t="shared" si="66"/>
        <v>#N/A</v>
      </c>
      <c r="AZ112" s="1" t="e">
        <f t="shared" si="67"/>
        <v>#N/A</v>
      </c>
      <c r="BA112" s="1" t="e">
        <f t="shared" si="68"/>
        <v>#N/A</v>
      </c>
      <c r="BB112" s="1" t="e">
        <f t="shared" si="69"/>
        <v>#N/A</v>
      </c>
    </row>
    <row r="113" spans="1:54" x14ac:dyDescent="0.2">
      <c r="A113" s="1">
        <f>IF(OR(Table1[[#This Row],[Type (TX, RX, TRX, Oscillator)]]="TX", Table1[[#This Row],[Type (TX, RX, TRX, Oscillator)]]="TX FE"),Table1[[#This Row],[Frequency (GHz)]],#N/A)</f>
        <v>150</v>
      </c>
      <c r="B113" s="30">
        <f>IF(OR(Table1[[#This Row],[Type (TX, RX, TRX, Oscillator)]]="TX", Table1[[#This Row],[Type (TX, RX, TRX, Oscillator)]]="TX FE"),DATE(Table1[[#This Row],[Year ]],Table1[[#This Row],[Month]],1),#N/A)</f>
        <v>44805</v>
      </c>
      <c r="C113" s="1">
        <f>IF(OR(Table1[[#This Row],[Type (TX, RX, TRX, Oscillator)]]="TX",Table1[[#This Row],[Type (TX, RX, TRX, Oscillator)]]="TX FE"),Table1[[#This Row],[Total Number of Elements (TX + RX)]],#N/A)</f>
        <v>16</v>
      </c>
      <c r="D113" s="1" t="e">
        <f t="shared" si="35"/>
        <v>#N/A</v>
      </c>
      <c r="E113" s="1" t="e">
        <f t="shared" si="36"/>
        <v>#N/A</v>
      </c>
      <c r="F113" s="1" t="e">
        <f t="shared" si="37"/>
        <v>#N/A</v>
      </c>
      <c r="G113" s="1" t="e">
        <f t="shared" si="38"/>
        <v>#N/A</v>
      </c>
      <c r="H113" s="1">
        <f t="shared" si="39"/>
        <v>16</v>
      </c>
      <c r="I113" s="1" t="e">
        <f t="shared" si="40"/>
        <v>#N/A</v>
      </c>
      <c r="J113" s="1" t="e">
        <f t="shared" si="41"/>
        <v>#N/A</v>
      </c>
      <c r="L113" s="1" t="e">
        <f>IF(OR(Table1[[#This Row],[Type (TX, RX, TRX, Oscillator)]]="RX", Table1[[#This Row],[Type (TX, RX, TRX, Oscillator)]]="RX FE"),Table1[[#This Row],[Frequency (GHz)]],#N/A)</f>
        <v>#N/A</v>
      </c>
      <c r="M113" s="30" t="e">
        <f>IF(OR(Table1[[#This Row],[Type (TX, RX, TRX, Oscillator)]]="RX", Table1[[#This Row],[Type (TX, RX, TRX, Oscillator)]]="RX FE"),DATE(Table1[[#This Row],[Year ]],Table1[[#This Row],[Month]],1),#N/A)</f>
        <v>#N/A</v>
      </c>
      <c r="N113" s="1" t="e">
        <f>IF(OR(Table1[[#This Row],[Type (TX, RX, TRX, Oscillator)]]="RX", Table1[[#This Row],[Type (TX, RX, TRX, Oscillator)]]="RX FE"),Table1[[#This Row],[Total Number of Elements (TX + RX)]],#N/A)</f>
        <v>#N/A</v>
      </c>
      <c r="O113" s="1" t="e">
        <f t="shared" si="42"/>
        <v>#N/A</v>
      </c>
      <c r="P113" s="1" t="e">
        <f t="shared" si="43"/>
        <v>#N/A</v>
      </c>
      <c r="Q113" s="1" t="e">
        <f t="shared" si="44"/>
        <v>#N/A</v>
      </c>
      <c r="R113" s="1" t="e">
        <f t="shared" si="45"/>
        <v>#N/A</v>
      </c>
      <c r="S113" s="1" t="e">
        <f t="shared" si="46"/>
        <v>#N/A</v>
      </c>
      <c r="T113" s="1" t="e">
        <f t="shared" si="47"/>
        <v>#N/A</v>
      </c>
      <c r="U113" s="1" t="e">
        <f t="shared" si="48"/>
        <v>#N/A</v>
      </c>
      <c r="W113" s="1" t="e">
        <f>IF(OR(Table1[[#This Row],[Type (TX, RX, TRX, Oscillator)]]="TRX",Table1[[#This Row],[Type (TX, RX, TRX, Oscillator)]]="TRX FE"),Table1[[#This Row],[Frequency (GHz)]],#N/A)</f>
        <v>#N/A</v>
      </c>
      <c r="X113" s="30" t="e">
        <f>IF(OR(Table1[[#This Row],[Type (TX, RX, TRX, Oscillator)]]="TRX", Table1[[#This Row],[Type (TX, RX, TRX, Oscillator)]]="TRX FE"),DATE(Table1[[#This Row],[Year ]],Table1[[#This Row],[Month]],1),#N/A)</f>
        <v>#N/A</v>
      </c>
      <c r="Y113" s="1" t="e">
        <f>IF(OR(Table1[[#This Row],[Type (TX, RX, TRX, Oscillator)]]="TRX", Table1[[#This Row],[Type (TX, RX, TRX, Oscillator)]]="TRX FE"),Table1[[#This Row],[Total Number of Elements (TX + RX)]],#N/A)</f>
        <v>#N/A</v>
      </c>
      <c r="Z113" s="1" t="e">
        <f t="shared" si="49"/>
        <v>#N/A</v>
      </c>
      <c r="AA113" s="1" t="e">
        <f t="shared" si="50"/>
        <v>#N/A</v>
      </c>
      <c r="AB113" s="1" t="e">
        <f t="shared" si="51"/>
        <v>#N/A</v>
      </c>
      <c r="AC113" s="1" t="e">
        <f t="shared" si="52"/>
        <v>#N/A</v>
      </c>
      <c r="AD113" s="1" t="e">
        <f t="shared" si="53"/>
        <v>#N/A</v>
      </c>
      <c r="AE113" s="1" t="e">
        <f t="shared" si="54"/>
        <v>#N/A</v>
      </c>
      <c r="AF113" s="1" t="e">
        <f t="shared" si="55"/>
        <v>#N/A</v>
      </c>
      <c r="AH113" s="1" t="e">
        <f>IF(Table1[[#This Row],[Type (TX, RX, TRX, Oscillator)]]="Oscillator",Table1[[#This Row],[Frequency (GHz)]],#N/A)</f>
        <v>#N/A</v>
      </c>
      <c r="AI113" s="30" t="e">
        <f>IF(Table1[[#This Row],[Type (TX, RX, TRX, Oscillator)]]="Oscillator",DATE(Table1[[#This Row],[Year ]],Table1[[#This Row],[Month]],1),#N/A)</f>
        <v>#N/A</v>
      </c>
      <c r="AJ113" s="1" t="e">
        <f>IF(Table1[[#This Row],[Type (TX, RX, TRX, Oscillator)]]="Oscillator",Table1[[#This Row],[Total Number of Elements (TX + RX)]],#N/A)</f>
        <v>#N/A</v>
      </c>
      <c r="AK113" s="1" t="e">
        <f t="shared" si="56"/>
        <v>#N/A</v>
      </c>
      <c r="AL113" s="1" t="e">
        <f t="shared" si="57"/>
        <v>#N/A</v>
      </c>
      <c r="AM113" s="1" t="e">
        <f t="shared" si="58"/>
        <v>#N/A</v>
      </c>
      <c r="AN113" s="1" t="e">
        <f t="shared" si="59"/>
        <v>#N/A</v>
      </c>
      <c r="AO113" s="1" t="e">
        <f t="shared" si="60"/>
        <v>#N/A</v>
      </c>
      <c r="AP113" s="1" t="e">
        <f t="shared" si="61"/>
        <v>#N/A</v>
      </c>
      <c r="AQ113" s="1" t="e">
        <f t="shared" si="62"/>
        <v>#N/A</v>
      </c>
      <c r="AS113" s="1" t="e">
        <f>IF(Table1[[#This Row],[Type (TX, RX, TRX, Oscillator)]]="Relay",Table1[[#This Row],[Frequency (GHz)]],#N/A)</f>
        <v>#N/A</v>
      </c>
      <c r="AT113" s="30" t="e">
        <f>IF(Table1[[#This Row],[Type (TX, RX, TRX, Oscillator)]]="Relay",DATE(Table1[[#This Row],[Year ]],Table1[[#This Row],[Month]],1),#N/A)</f>
        <v>#N/A</v>
      </c>
      <c r="AU113" s="1" t="e">
        <f>IF(Table1[[#This Row],[Type (TX, RX, TRX, Oscillator)]]="Relay",Table1[[#This Row],[Total Number of Elements (TX + RX)]],#N/A)</f>
        <v>#N/A</v>
      </c>
      <c r="AV113" s="1" t="e">
        <f t="shared" si="63"/>
        <v>#N/A</v>
      </c>
      <c r="AW113" s="1" t="e">
        <f t="shared" si="64"/>
        <v>#N/A</v>
      </c>
      <c r="AX113" s="1" t="e">
        <f t="shared" si="65"/>
        <v>#N/A</v>
      </c>
      <c r="AY113" s="1" t="e">
        <f t="shared" si="66"/>
        <v>#N/A</v>
      </c>
      <c r="AZ113" s="1" t="e">
        <f t="shared" si="67"/>
        <v>#N/A</v>
      </c>
      <c r="BA113" s="1" t="e">
        <f t="shared" si="68"/>
        <v>#N/A</v>
      </c>
      <c r="BB113" s="1" t="e">
        <f t="shared" si="69"/>
        <v>#N/A</v>
      </c>
    </row>
    <row r="114" spans="1:54" x14ac:dyDescent="0.2">
      <c r="A114" s="1" t="e">
        <f>IF(OR(Table1[[#This Row],[Type (TX, RX, TRX, Oscillator)]]="TX", Table1[[#This Row],[Type (TX, RX, TRX, Oscillator)]]="TX FE"),Table1[[#This Row],[Frequency (GHz)]],#N/A)</f>
        <v>#N/A</v>
      </c>
      <c r="B114" s="30" t="e">
        <f>IF(OR(Table1[[#This Row],[Type (TX, RX, TRX, Oscillator)]]="TX", Table1[[#This Row],[Type (TX, RX, TRX, Oscillator)]]="TX FE"),DATE(Table1[[#This Row],[Year ]],Table1[[#This Row],[Month]],1),#N/A)</f>
        <v>#N/A</v>
      </c>
      <c r="C114" s="1" t="e">
        <f>IF(OR(Table1[[#This Row],[Type (TX, RX, TRX, Oscillator)]]="TX",Table1[[#This Row],[Type (TX, RX, TRX, Oscillator)]]="TX FE"),Table1[[#This Row],[Total Number of Elements (TX + RX)]],#N/A)</f>
        <v>#N/A</v>
      </c>
      <c r="D114" s="1" t="e">
        <f t="shared" si="35"/>
        <v>#N/A</v>
      </c>
      <c r="E114" s="1" t="e">
        <f t="shared" si="36"/>
        <v>#N/A</v>
      </c>
      <c r="F114" s="1" t="e">
        <f t="shared" si="37"/>
        <v>#N/A</v>
      </c>
      <c r="G114" s="1" t="e">
        <f t="shared" si="38"/>
        <v>#N/A</v>
      </c>
      <c r="H114" s="1" t="e">
        <f t="shared" si="39"/>
        <v>#N/A</v>
      </c>
      <c r="I114" s="1" t="e">
        <f t="shared" si="40"/>
        <v>#N/A</v>
      </c>
      <c r="J114" s="1" t="e">
        <f t="shared" si="41"/>
        <v>#N/A</v>
      </c>
      <c r="L114" s="1">
        <f>IF(OR(Table1[[#This Row],[Type (TX, RX, TRX, Oscillator)]]="RX", Table1[[#This Row],[Type (TX, RX, TRX, Oscillator)]]="RX FE"),Table1[[#This Row],[Frequency (GHz)]],#N/A)</f>
        <v>150</v>
      </c>
      <c r="M114" s="30">
        <f>IF(OR(Table1[[#This Row],[Type (TX, RX, TRX, Oscillator)]]="RX", Table1[[#This Row],[Type (TX, RX, TRX, Oscillator)]]="RX FE"),DATE(Table1[[#This Row],[Year ]],Table1[[#This Row],[Month]],1),#N/A)</f>
        <v>44805</v>
      </c>
      <c r="N114" s="1">
        <f>IF(OR(Table1[[#This Row],[Type (TX, RX, TRX, Oscillator)]]="RX", Table1[[#This Row],[Type (TX, RX, TRX, Oscillator)]]="RX FE"),Table1[[#This Row],[Total Number of Elements (TX + RX)]],#N/A)</f>
        <v>16</v>
      </c>
      <c r="O114" s="1" t="e">
        <f t="shared" si="42"/>
        <v>#N/A</v>
      </c>
      <c r="P114" s="1" t="e">
        <f t="shared" si="43"/>
        <v>#N/A</v>
      </c>
      <c r="Q114" s="1" t="e">
        <f t="shared" si="44"/>
        <v>#N/A</v>
      </c>
      <c r="R114" s="1" t="e">
        <f t="shared" si="45"/>
        <v>#N/A</v>
      </c>
      <c r="S114" s="1">
        <f t="shared" si="46"/>
        <v>16</v>
      </c>
      <c r="T114" s="1" t="e">
        <f t="shared" si="47"/>
        <v>#N/A</v>
      </c>
      <c r="U114" s="1" t="e">
        <f t="shared" si="48"/>
        <v>#N/A</v>
      </c>
      <c r="W114" s="1" t="e">
        <f>IF(OR(Table1[[#This Row],[Type (TX, RX, TRX, Oscillator)]]="TRX",Table1[[#This Row],[Type (TX, RX, TRX, Oscillator)]]="TRX FE"),Table1[[#This Row],[Frequency (GHz)]],#N/A)</f>
        <v>#N/A</v>
      </c>
      <c r="X114" s="30" t="e">
        <f>IF(OR(Table1[[#This Row],[Type (TX, RX, TRX, Oscillator)]]="TRX", Table1[[#This Row],[Type (TX, RX, TRX, Oscillator)]]="TRX FE"),DATE(Table1[[#This Row],[Year ]],Table1[[#This Row],[Month]],1),#N/A)</f>
        <v>#N/A</v>
      </c>
      <c r="Y114" s="1" t="e">
        <f>IF(OR(Table1[[#This Row],[Type (TX, RX, TRX, Oscillator)]]="TRX", Table1[[#This Row],[Type (TX, RX, TRX, Oscillator)]]="TRX FE"),Table1[[#This Row],[Total Number of Elements (TX + RX)]],#N/A)</f>
        <v>#N/A</v>
      </c>
      <c r="Z114" s="1" t="e">
        <f t="shared" si="49"/>
        <v>#N/A</v>
      </c>
      <c r="AA114" s="1" t="e">
        <f t="shared" si="50"/>
        <v>#N/A</v>
      </c>
      <c r="AB114" s="1" t="e">
        <f t="shared" si="51"/>
        <v>#N/A</v>
      </c>
      <c r="AC114" s="1" t="e">
        <f t="shared" si="52"/>
        <v>#N/A</v>
      </c>
      <c r="AD114" s="1" t="e">
        <f t="shared" si="53"/>
        <v>#N/A</v>
      </c>
      <c r="AE114" s="1" t="e">
        <f t="shared" si="54"/>
        <v>#N/A</v>
      </c>
      <c r="AF114" s="1" t="e">
        <f t="shared" si="55"/>
        <v>#N/A</v>
      </c>
      <c r="AH114" s="1" t="e">
        <f>IF(Table1[[#This Row],[Type (TX, RX, TRX, Oscillator)]]="Oscillator",Table1[[#This Row],[Frequency (GHz)]],#N/A)</f>
        <v>#N/A</v>
      </c>
      <c r="AI114" s="30" t="e">
        <f>IF(Table1[[#This Row],[Type (TX, RX, TRX, Oscillator)]]="Oscillator",DATE(Table1[[#This Row],[Year ]],Table1[[#This Row],[Month]],1),#N/A)</f>
        <v>#N/A</v>
      </c>
      <c r="AJ114" s="1" t="e">
        <f>IF(Table1[[#This Row],[Type (TX, RX, TRX, Oscillator)]]="Oscillator",Table1[[#This Row],[Total Number of Elements (TX + RX)]],#N/A)</f>
        <v>#N/A</v>
      </c>
      <c r="AK114" s="1" t="e">
        <f t="shared" si="56"/>
        <v>#N/A</v>
      </c>
      <c r="AL114" s="1" t="e">
        <f t="shared" si="57"/>
        <v>#N/A</v>
      </c>
      <c r="AM114" s="1" t="e">
        <f t="shared" si="58"/>
        <v>#N/A</v>
      </c>
      <c r="AN114" s="1" t="e">
        <f t="shared" si="59"/>
        <v>#N/A</v>
      </c>
      <c r="AO114" s="1" t="e">
        <f t="shared" si="60"/>
        <v>#N/A</v>
      </c>
      <c r="AP114" s="1" t="e">
        <f t="shared" si="61"/>
        <v>#N/A</v>
      </c>
      <c r="AQ114" s="1" t="e">
        <f t="shared" si="62"/>
        <v>#N/A</v>
      </c>
      <c r="AS114" s="1" t="e">
        <f>IF(Table1[[#This Row],[Type (TX, RX, TRX, Oscillator)]]="Relay",Table1[[#This Row],[Frequency (GHz)]],#N/A)</f>
        <v>#N/A</v>
      </c>
      <c r="AT114" s="30" t="e">
        <f>IF(Table1[[#This Row],[Type (TX, RX, TRX, Oscillator)]]="Relay",DATE(Table1[[#This Row],[Year ]],Table1[[#This Row],[Month]],1),#N/A)</f>
        <v>#N/A</v>
      </c>
      <c r="AU114" s="1" t="e">
        <f>IF(Table1[[#This Row],[Type (TX, RX, TRX, Oscillator)]]="Relay",Table1[[#This Row],[Total Number of Elements (TX + RX)]],#N/A)</f>
        <v>#N/A</v>
      </c>
      <c r="AV114" s="1" t="e">
        <f t="shared" si="63"/>
        <v>#N/A</v>
      </c>
      <c r="AW114" s="1" t="e">
        <f t="shared" si="64"/>
        <v>#N/A</v>
      </c>
      <c r="AX114" s="1" t="e">
        <f t="shared" si="65"/>
        <v>#N/A</v>
      </c>
      <c r="AY114" s="1" t="e">
        <f t="shared" si="66"/>
        <v>#N/A</v>
      </c>
      <c r="AZ114" s="1" t="e">
        <f t="shared" si="67"/>
        <v>#N/A</v>
      </c>
      <c r="BA114" s="1" t="e">
        <f t="shared" si="68"/>
        <v>#N/A</v>
      </c>
      <c r="BB114" s="1" t="e">
        <f t="shared" si="69"/>
        <v>#N/A</v>
      </c>
    </row>
    <row r="115" spans="1:54" x14ac:dyDescent="0.2">
      <c r="A115" s="1" t="e">
        <f>IF(OR(Table1[[#This Row],[Type (TX, RX, TRX, Oscillator)]]="TX", Table1[[#This Row],[Type (TX, RX, TRX, Oscillator)]]="TX FE"),Table1[[#This Row],[Frequency (GHz)]],#N/A)</f>
        <v>#N/A</v>
      </c>
      <c r="B115" s="30" t="e">
        <f>IF(OR(Table1[[#This Row],[Type (TX, RX, TRX, Oscillator)]]="TX", Table1[[#This Row],[Type (TX, RX, TRX, Oscillator)]]="TX FE"),DATE(Table1[[#This Row],[Year ]],Table1[[#This Row],[Month]],1),#N/A)</f>
        <v>#N/A</v>
      </c>
      <c r="C115" s="1" t="e">
        <f>IF(OR(Table1[[#This Row],[Type (TX, RX, TRX, Oscillator)]]="TX",Table1[[#This Row],[Type (TX, RX, TRX, Oscillator)]]="TX FE"),Table1[[#This Row],[Total Number of Elements (TX + RX)]],#N/A)</f>
        <v>#N/A</v>
      </c>
      <c r="D115" s="1" t="e">
        <f t="shared" si="35"/>
        <v>#N/A</v>
      </c>
      <c r="E115" s="1" t="e">
        <f t="shared" si="36"/>
        <v>#N/A</v>
      </c>
      <c r="F115" s="1" t="e">
        <f t="shared" si="37"/>
        <v>#N/A</v>
      </c>
      <c r="G115" s="1" t="e">
        <f t="shared" si="38"/>
        <v>#N/A</v>
      </c>
      <c r="H115" s="1" t="e">
        <f t="shared" si="39"/>
        <v>#N/A</v>
      </c>
      <c r="I115" s="1" t="e">
        <f t="shared" si="40"/>
        <v>#N/A</v>
      </c>
      <c r="J115" s="1" t="e">
        <f t="shared" si="41"/>
        <v>#N/A</v>
      </c>
      <c r="L115" s="1" t="e">
        <f>IF(OR(Table1[[#This Row],[Type (TX, RX, TRX, Oscillator)]]="RX", Table1[[#This Row],[Type (TX, RX, TRX, Oscillator)]]="RX FE"),Table1[[#This Row],[Frequency (GHz)]],#N/A)</f>
        <v>#N/A</v>
      </c>
      <c r="M115" s="30" t="e">
        <f>IF(OR(Table1[[#This Row],[Type (TX, RX, TRX, Oscillator)]]="RX", Table1[[#This Row],[Type (TX, RX, TRX, Oscillator)]]="RX FE"),DATE(Table1[[#This Row],[Year ]],Table1[[#This Row],[Month]],1),#N/A)</f>
        <v>#N/A</v>
      </c>
      <c r="N115" s="1" t="e">
        <f>IF(OR(Table1[[#This Row],[Type (TX, RX, TRX, Oscillator)]]="RX", Table1[[#This Row],[Type (TX, RX, TRX, Oscillator)]]="RX FE"),Table1[[#This Row],[Total Number of Elements (TX + RX)]],#N/A)</f>
        <v>#N/A</v>
      </c>
      <c r="O115" s="1" t="e">
        <f t="shared" si="42"/>
        <v>#N/A</v>
      </c>
      <c r="P115" s="1" t="e">
        <f t="shared" si="43"/>
        <v>#N/A</v>
      </c>
      <c r="Q115" s="1" t="e">
        <f t="shared" si="44"/>
        <v>#N/A</v>
      </c>
      <c r="R115" s="1" t="e">
        <f t="shared" si="45"/>
        <v>#N/A</v>
      </c>
      <c r="S115" s="1" t="e">
        <f t="shared" si="46"/>
        <v>#N/A</v>
      </c>
      <c r="T115" s="1" t="e">
        <f t="shared" si="47"/>
        <v>#N/A</v>
      </c>
      <c r="U115" s="1" t="e">
        <f t="shared" si="48"/>
        <v>#N/A</v>
      </c>
      <c r="W115" s="1">
        <f>IF(OR(Table1[[#This Row],[Type (TX, RX, TRX, Oscillator)]]="TRX",Table1[[#This Row],[Type (TX, RX, TRX, Oscillator)]]="TRX FE"),Table1[[#This Row],[Frequency (GHz)]],#N/A)</f>
        <v>28</v>
      </c>
      <c r="X115" s="30">
        <f>IF(OR(Table1[[#This Row],[Type (TX, RX, TRX, Oscillator)]]="TRX", Table1[[#This Row],[Type (TX, RX, TRX, Oscillator)]]="TRX FE"),DATE(Table1[[#This Row],[Year ]],Table1[[#This Row],[Month]],1),#N/A)</f>
        <v>44805</v>
      </c>
      <c r="Y115" s="1">
        <f>IF(OR(Table1[[#This Row],[Type (TX, RX, TRX, Oscillator)]]="TRX", Table1[[#This Row],[Type (TX, RX, TRX, Oscillator)]]="TRX FE"),Table1[[#This Row],[Total Number of Elements (TX + RX)]],#N/A)</f>
        <v>8</v>
      </c>
      <c r="Z115" s="1" t="e">
        <f t="shared" si="49"/>
        <v>#N/A</v>
      </c>
      <c r="AA115" s="1">
        <f t="shared" si="50"/>
        <v>8</v>
      </c>
      <c r="AB115" s="1" t="e">
        <f t="shared" si="51"/>
        <v>#N/A</v>
      </c>
      <c r="AC115" s="1" t="e">
        <f t="shared" si="52"/>
        <v>#N/A</v>
      </c>
      <c r="AD115" s="1" t="e">
        <f t="shared" si="53"/>
        <v>#N/A</v>
      </c>
      <c r="AE115" s="1" t="e">
        <f t="shared" si="54"/>
        <v>#N/A</v>
      </c>
      <c r="AF115" s="1" t="e">
        <f t="shared" si="55"/>
        <v>#N/A</v>
      </c>
      <c r="AH115" s="1" t="e">
        <f>IF(Table1[[#This Row],[Type (TX, RX, TRX, Oscillator)]]="Oscillator",Table1[[#This Row],[Frequency (GHz)]],#N/A)</f>
        <v>#N/A</v>
      </c>
      <c r="AI115" s="30" t="e">
        <f>IF(Table1[[#This Row],[Type (TX, RX, TRX, Oscillator)]]="Oscillator",DATE(Table1[[#This Row],[Year ]],Table1[[#This Row],[Month]],1),#N/A)</f>
        <v>#N/A</v>
      </c>
      <c r="AJ115" s="1" t="e">
        <f>IF(Table1[[#This Row],[Type (TX, RX, TRX, Oscillator)]]="Oscillator",Table1[[#This Row],[Total Number of Elements (TX + RX)]],#N/A)</f>
        <v>#N/A</v>
      </c>
      <c r="AK115" s="1" t="e">
        <f t="shared" si="56"/>
        <v>#N/A</v>
      </c>
      <c r="AL115" s="1" t="e">
        <f t="shared" si="57"/>
        <v>#N/A</v>
      </c>
      <c r="AM115" s="1" t="e">
        <f t="shared" si="58"/>
        <v>#N/A</v>
      </c>
      <c r="AN115" s="1" t="e">
        <f t="shared" si="59"/>
        <v>#N/A</v>
      </c>
      <c r="AO115" s="1" t="e">
        <f t="shared" si="60"/>
        <v>#N/A</v>
      </c>
      <c r="AP115" s="1" t="e">
        <f t="shared" si="61"/>
        <v>#N/A</v>
      </c>
      <c r="AQ115" s="1" t="e">
        <f t="shared" si="62"/>
        <v>#N/A</v>
      </c>
      <c r="AS115" s="1" t="e">
        <f>IF(Table1[[#This Row],[Type (TX, RX, TRX, Oscillator)]]="Relay",Table1[[#This Row],[Frequency (GHz)]],#N/A)</f>
        <v>#N/A</v>
      </c>
      <c r="AT115" s="30" t="e">
        <f>IF(Table1[[#This Row],[Type (TX, RX, TRX, Oscillator)]]="Relay",DATE(Table1[[#This Row],[Year ]],Table1[[#This Row],[Month]],1),#N/A)</f>
        <v>#N/A</v>
      </c>
      <c r="AU115" s="1" t="e">
        <f>IF(Table1[[#This Row],[Type (TX, RX, TRX, Oscillator)]]="Relay",Table1[[#This Row],[Total Number of Elements (TX + RX)]],#N/A)</f>
        <v>#N/A</v>
      </c>
      <c r="AV115" s="1" t="e">
        <f t="shared" si="63"/>
        <v>#N/A</v>
      </c>
      <c r="AW115" s="1" t="e">
        <f t="shared" si="64"/>
        <v>#N/A</v>
      </c>
      <c r="AX115" s="1" t="e">
        <f t="shared" si="65"/>
        <v>#N/A</v>
      </c>
      <c r="AY115" s="1" t="e">
        <f t="shared" si="66"/>
        <v>#N/A</v>
      </c>
      <c r="AZ115" s="1" t="e">
        <f t="shared" si="67"/>
        <v>#N/A</v>
      </c>
      <c r="BA115" s="1" t="e">
        <f t="shared" si="68"/>
        <v>#N/A</v>
      </c>
      <c r="BB115" s="1" t="e">
        <f t="shared" si="69"/>
        <v>#N/A</v>
      </c>
    </row>
    <row r="116" spans="1:54" x14ac:dyDescent="0.2">
      <c r="A116" s="1" t="e">
        <f>IF(OR(Table1[[#This Row],[Type (TX, RX, TRX, Oscillator)]]="TX", Table1[[#This Row],[Type (TX, RX, TRX, Oscillator)]]="TX FE"),Table1[[#This Row],[Frequency (GHz)]],#N/A)</f>
        <v>#N/A</v>
      </c>
      <c r="B116" s="30" t="e">
        <f>IF(OR(Table1[[#This Row],[Type (TX, RX, TRX, Oscillator)]]="TX", Table1[[#This Row],[Type (TX, RX, TRX, Oscillator)]]="TX FE"),DATE(Table1[[#This Row],[Year ]],Table1[[#This Row],[Month]],1),#N/A)</f>
        <v>#N/A</v>
      </c>
      <c r="C116" s="1" t="e">
        <f>IF(OR(Table1[[#This Row],[Type (TX, RX, TRX, Oscillator)]]="TX",Table1[[#This Row],[Type (TX, RX, TRX, Oscillator)]]="TX FE"),Table1[[#This Row],[Total Number of Elements (TX + RX)]],#N/A)</f>
        <v>#N/A</v>
      </c>
      <c r="D116" s="1" t="e">
        <f t="shared" si="35"/>
        <v>#N/A</v>
      </c>
      <c r="E116" s="1" t="e">
        <f t="shared" si="36"/>
        <v>#N/A</v>
      </c>
      <c r="F116" s="1" t="e">
        <f t="shared" si="37"/>
        <v>#N/A</v>
      </c>
      <c r="G116" s="1" t="e">
        <f t="shared" si="38"/>
        <v>#N/A</v>
      </c>
      <c r="H116" s="1" t="e">
        <f t="shared" si="39"/>
        <v>#N/A</v>
      </c>
      <c r="I116" s="1" t="e">
        <f t="shared" si="40"/>
        <v>#N/A</v>
      </c>
      <c r="J116" s="1" t="e">
        <f t="shared" si="41"/>
        <v>#N/A</v>
      </c>
      <c r="L116" s="1">
        <f>IF(OR(Table1[[#This Row],[Type (TX, RX, TRX, Oscillator)]]="RX", Table1[[#This Row],[Type (TX, RX, TRX, Oscillator)]]="RX FE"),Table1[[#This Row],[Frequency (GHz)]],#N/A)</f>
        <v>18</v>
      </c>
      <c r="M116" s="30">
        <f>IF(OR(Table1[[#This Row],[Type (TX, RX, TRX, Oscillator)]]="RX", Table1[[#This Row],[Type (TX, RX, TRX, Oscillator)]]="RX FE"),DATE(Table1[[#This Row],[Year ]],Table1[[#This Row],[Month]],1),#N/A)</f>
        <v>44835</v>
      </c>
      <c r="N116" s="1">
        <f>IF(OR(Table1[[#This Row],[Type (TX, RX, TRX, Oscillator)]]="RX", Table1[[#This Row],[Type (TX, RX, TRX, Oscillator)]]="RX FE"),Table1[[#This Row],[Total Number of Elements (TX + RX)]],#N/A)</f>
        <v>8</v>
      </c>
      <c r="O116" s="1">
        <f t="shared" si="42"/>
        <v>8</v>
      </c>
      <c r="P116" s="1" t="e">
        <f t="shared" si="43"/>
        <v>#N/A</v>
      </c>
      <c r="Q116" s="1" t="e">
        <f t="shared" si="44"/>
        <v>#N/A</v>
      </c>
      <c r="R116" s="1" t="e">
        <f t="shared" si="45"/>
        <v>#N/A</v>
      </c>
      <c r="S116" s="1" t="e">
        <f t="shared" si="46"/>
        <v>#N/A</v>
      </c>
      <c r="T116" s="1" t="e">
        <f t="shared" si="47"/>
        <v>#N/A</v>
      </c>
      <c r="U116" s="1" t="e">
        <f t="shared" si="48"/>
        <v>#N/A</v>
      </c>
      <c r="W116" s="1" t="e">
        <f>IF(OR(Table1[[#This Row],[Type (TX, RX, TRX, Oscillator)]]="TRX",Table1[[#This Row],[Type (TX, RX, TRX, Oscillator)]]="TRX FE"),Table1[[#This Row],[Frequency (GHz)]],#N/A)</f>
        <v>#N/A</v>
      </c>
      <c r="X116" s="30" t="e">
        <f>IF(OR(Table1[[#This Row],[Type (TX, RX, TRX, Oscillator)]]="TRX", Table1[[#This Row],[Type (TX, RX, TRX, Oscillator)]]="TRX FE"),DATE(Table1[[#This Row],[Year ]],Table1[[#This Row],[Month]],1),#N/A)</f>
        <v>#N/A</v>
      </c>
      <c r="Y116" s="1" t="e">
        <f>IF(OR(Table1[[#This Row],[Type (TX, RX, TRX, Oscillator)]]="TRX", Table1[[#This Row],[Type (TX, RX, TRX, Oscillator)]]="TRX FE"),Table1[[#This Row],[Total Number of Elements (TX + RX)]],#N/A)</f>
        <v>#N/A</v>
      </c>
      <c r="Z116" s="1" t="e">
        <f t="shared" si="49"/>
        <v>#N/A</v>
      </c>
      <c r="AA116" s="1" t="e">
        <f t="shared" si="50"/>
        <v>#N/A</v>
      </c>
      <c r="AB116" s="1" t="e">
        <f t="shared" si="51"/>
        <v>#N/A</v>
      </c>
      <c r="AC116" s="1" t="e">
        <f t="shared" si="52"/>
        <v>#N/A</v>
      </c>
      <c r="AD116" s="1" t="e">
        <f t="shared" si="53"/>
        <v>#N/A</v>
      </c>
      <c r="AE116" s="1" t="e">
        <f t="shared" si="54"/>
        <v>#N/A</v>
      </c>
      <c r="AF116" s="1" t="e">
        <f t="shared" si="55"/>
        <v>#N/A</v>
      </c>
      <c r="AH116" s="1" t="e">
        <f>IF(Table1[[#This Row],[Type (TX, RX, TRX, Oscillator)]]="Oscillator",Table1[[#This Row],[Frequency (GHz)]],#N/A)</f>
        <v>#N/A</v>
      </c>
      <c r="AI116" s="30" t="e">
        <f>IF(Table1[[#This Row],[Type (TX, RX, TRX, Oscillator)]]="Oscillator",DATE(Table1[[#This Row],[Year ]],Table1[[#This Row],[Month]],1),#N/A)</f>
        <v>#N/A</v>
      </c>
      <c r="AJ116" s="1" t="e">
        <f>IF(Table1[[#This Row],[Type (TX, RX, TRX, Oscillator)]]="Oscillator",Table1[[#This Row],[Total Number of Elements (TX + RX)]],#N/A)</f>
        <v>#N/A</v>
      </c>
      <c r="AK116" s="1" t="e">
        <f t="shared" si="56"/>
        <v>#N/A</v>
      </c>
      <c r="AL116" s="1" t="e">
        <f t="shared" si="57"/>
        <v>#N/A</v>
      </c>
      <c r="AM116" s="1" t="e">
        <f t="shared" si="58"/>
        <v>#N/A</v>
      </c>
      <c r="AN116" s="1" t="e">
        <f t="shared" si="59"/>
        <v>#N/A</v>
      </c>
      <c r="AO116" s="1" t="e">
        <f t="shared" si="60"/>
        <v>#N/A</v>
      </c>
      <c r="AP116" s="1" t="e">
        <f t="shared" si="61"/>
        <v>#N/A</v>
      </c>
      <c r="AQ116" s="1" t="e">
        <f t="shared" si="62"/>
        <v>#N/A</v>
      </c>
      <c r="AS116" s="1" t="e">
        <f>IF(Table1[[#This Row],[Type (TX, RX, TRX, Oscillator)]]="Relay",Table1[[#This Row],[Frequency (GHz)]],#N/A)</f>
        <v>#N/A</v>
      </c>
      <c r="AT116" s="30" t="e">
        <f>IF(Table1[[#This Row],[Type (TX, RX, TRX, Oscillator)]]="Relay",DATE(Table1[[#This Row],[Year ]],Table1[[#This Row],[Month]],1),#N/A)</f>
        <v>#N/A</v>
      </c>
      <c r="AU116" s="1" t="e">
        <f>IF(Table1[[#This Row],[Type (TX, RX, TRX, Oscillator)]]="Relay",Table1[[#This Row],[Total Number of Elements (TX + RX)]],#N/A)</f>
        <v>#N/A</v>
      </c>
      <c r="AV116" s="1" t="e">
        <f t="shared" si="63"/>
        <v>#N/A</v>
      </c>
      <c r="AW116" s="1" t="e">
        <f t="shared" si="64"/>
        <v>#N/A</v>
      </c>
      <c r="AX116" s="1" t="e">
        <f t="shared" si="65"/>
        <v>#N/A</v>
      </c>
      <c r="AY116" s="1" t="e">
        <f t="shared" si="66"/>
        <v>#N/A</v>
      </c>
      <c r="AZ116" s="1" t="e">
        <f t="shared" si="67"/>
        <v>#N/A</v>
      </c>
      <c r="BA116" s="1" t="e">
        <f t="shared" si="68"/>
        <v>#N/A</v>
      </c>
      <c r="BB116" s="1" t="e">
        <f t="shared" si="69"/>
        <v>#N/A</v>
      </c>
    </row>
    <row r="117" spans="1:54" x14ac:dyDescent="0.2">
      <c r="A117" s="1">
        <f>IF(OR(Table1[[#This Row],[Type (TX, RX, TRX, Oscillator)]]="TX", Table1[[#This Row],[Type (TX, RX, TRX, Oscillator)]]="TX FE"),Table1[[#This Row],[Frequency (GHz)]],#N/A)</f>
        <v>28.7</v>
      </c>
      <c r="B117" s="30">
        <f>IF(OR(Table1[[#This Row],[Type (TX, RX, TRX, Oscillator)]]="TX", Table1[[#This Row],[Type (TX, RX, TRX, Oscillator)]]="TX FE"),DATE(Table1[[#This Row],[Year ]],Table1[[#This Row],[Month]],1),#N/A)</f>
        <v>44835</v>
      </c>
      <c r="C117" s="1">
        <f>IF(OR(Table1[[#This Row],[Type (TX, RX, TRX, Oscillator)]]="TX",Table1[[#This Row],[Type (TX, RX, TRX, Oscillator)]]="TX FE"),Table1[[#This Row],[Total Number of Elements (TX + RX)]],#N/A)</f>
        <v>4</v>
      </c>
      <c r="D117" s="1" t="e">
        <f t="shared" si="35"/>
        <v>#N/A</v>
      </c>
      <c r="E117" s="1">
        <f t="shared" si="36"/>
        <v>4</v>
      </c>
      <c r="F117" s="1" t="e">
        <f t="shared" si="37"/>
        <v>#N/A</v>
      </c>
      <c r="G117" s="1" t="e">
        <f t="shared" si="38"/>
        <v>#N/A</v>
      </c>
      <c r="H117" s="1" t="e">
        <f t="shared" si="39"/>
        <v>#N/A</v>
      </c>
      <c r="I117" s="1" t="e">
        <f t="shared" si="40"/>
        <v>#N/A</v>
      </c>
      <c r="J117" s="1" t="e">
        <f t="shared" si="41"/>
        <v>#N/A</v>
      </c>
      <c r="L117" s="1" t="e">
        <f>IF(OR(Table1[[#This Row],[Type (TX, RX, TRX, Oscillator)]]="RX", Table1[[#This Row],[Type (TX, RX, TRX, Oscillator)]]="RX FE"),Table1[[#This Row],[Frequency (GHz)]],#N/A)</f>
        <v>#N/A</v>
      </c>
      <c r="M117" s="30" t="e">
        <f>IF(OR(Table1[[#This Row],[Type (TX, RX, TRX, Oscillator)]]="RX", Table1[[#This Row],[Type (TX, RX, TRX, Oscillator)]]="RX FE"),DATE(Table1[[#This Row],[Year ]],Table1[[#This Row],[Month]],1),#N/A)</f>
        <v>#N/A</v>
      </c>
      <c r="N117" s="1" t="e">
        <f>IF(OR(Table1[[#This Row],[Type (TX, RX, TRX, Oscillator)]]="RX", Table1[[#This Row],[Type (TX, RX, TRX, Oscillator)]]="RX FE"),Table1[[#This Row],[Total Number of Elements (TX + RX)]],#N/A)</f>
        <v>#N/A</v>
      </c>
      <c r="O117" s="1" t="e">
        <f t="shared" si="42"/>
        <v>#N/A</v>
      </c>
      <c r="P117" s="1" t="e">
        <f t="shared" si="43"/>
        <v>#N/A</v>
      </c>
      <c r="Q117" s="1" t="e">
        <f t="shared" si="44"/>
        <v>#N/A</v>
      </c>
      <c r="R117" s="1" t="e">
        <f t="shared" si="45"/>
        <v>#N/A</v>
      </c>
      <c r="S117" s="1" t="e">
        <f t="shared" si="46"/>
        <v>#N/A</v>
      </c>
      <c r="T117" s="1" t="e">
        <f t="shared" si="47"/>
        <v>#N/A</v>
      </c>
      <c r="U117" s="1" t="e">
        <f t="shared" si="48"/>
        <v>#N/A</v>
      </c>
      <c r="W117" s="1" t="e">
        <f>IF(OR(Table1[[#This Row],[Type (TX, RX, TRX, Oscillator)]]="TRX",Table1[[#This Row],[Type (TX, RX, TRX, Oscillator)]]="TRX FE"),Table1[[#This Row],[Frequency (GHz)]],#N/A)</f>
        <v>#N/A</v>
      </c>
      <c r="X117" s="30" t="e">
        <f>IF(OR(Table1[[#This Row],[Type (TX, RX, TRX, Oscillator)]]="TRX", Table1[[#This Row],[Type (TX, RX, TRX, Oscillator)]]="TRX FE"),DATE(Table1[[#This Row],[Year ]],Table1[[#This Row],[Month]],1),#N/A)</f>
        <v>#N/A</v>
      </c>
      <c r="Y117" s="1" t="e">
        <f>IF(OR(Table1[[#This Row],[Type (TX, RX, TRX, Oscillator)]]="TRX", Table1[[#This Row],[Type (TX, RX, TRX, Oscillator)]]="TRX FE"),Table1[[#This Row],[Total Number of Elements (TX + RX)]],#N/A)</f>
        <v>#N/A</v>
      </c>
      <c r="Z117" s="1" t="e">
        <f t="shared" si="49"/>
        <v>#N/A</v>
      </c>
      <c r="AA117" s="1" t="e">
        <f t="shared" si="50"/>
        <v>#N/A</v>
      </c>
      <c r="AB117" s="1" t="e">
        <f t="shared" si="51"/>
        <v>#N/A</v>
      </c>
      <c r="AC117" s="1" t="e">
        <f t="shared" si="52"/>
        <v>#N/A</v>
      </c>
      <c r="AD117" s="1" t="e">
        <f t="shared" si="53"/>
        <v>#N/A</v>
      </c>
      <c r="AE117" s="1" t="e">
        <f t="shared" si="54"/>
        <v>#N/A</v>
      </c>
      <c r="AF117" s="1" t="e">
        <f t="shared" si="55"/>
        <v>#N/A</v>
      </c>
      <c r="AH117" s="1" t="e">
        <f>IF(Table1[[#This Row],[Type (TX, RX, TRX, Oscillator)]]="Oscillator",Table1[[#This Row],[Frequency (GHz)]],#N/A)</f>
        <v>#N/A</v>
      </c>
      <c r="AI117" s="30" t="e">
        <f>IF(Table1[[#This Row],[Type (TX, RX, TRX, Oscillator)]]="Oscillator",DATE(Table1[[#This Row],[Year ]],Table1[[#This Row],[Month]],1),#N/A)</f>
        <v>#N/A</v>
      </c>
      <c r="AJ117" s="1" t="e">
        <f>IF(Table1[[#This Row],[Type (TX, RX, TRX, Oscillator)]]="Oscillator",Table1[[#This Row],[Total Number of Elements (TX + RX)]],#N/A)</f>
        <v>#N/A</v>
      </c>
      <c r="AK117" s="1" t="e">
        <f t="shared" si="56"/>
        <v>#N/A</v>
      </c>
      <c r="AL117" s="1" t="e">
        <f t="shared" si="57"/>
        <v>#N/A</v>
      </c>
      <c r="AM117" s="1" t="e">
        <f t="shared" si="58"/>
        <v>#N/A</v>
      </c>
      <c r="AN117" s="1" t="e">
        <f t="shared" si="59"/>
        <v>#N/A</v>
      </c>
      <c r="AO117" s="1" t="e">
        <f t="shared" si="60"/>
        <v>#N/A</v>
      </c>
      <c r="AP117" s="1" t="e">
        <f t="shared" si="61"/>
        <v>#N/A</v>
      </c>
      <c r="AQ117" s="1" t="e">
        <f t="shared" si="62"/>
        <v>#N/A</v>
      </c>
      <c r="AS117" s="1" t="e">
        <f>IF(Table1[[#This Row],[Type (TX, RX, TRX, Oscillator)]]="Relay",Table1[[#This Row],[Frequency (GHz)]],#N/A)</f>
        <v>#N/A</v>
      </c>
      <c r="AT117" s="30" t="e">
        <f>IF(Table1[[#This Row],[Type (TX, RX, TRX, Oscillator)]]="Relay",DATE(Table1[[#This Row],[Year ]],Table1[[#This Row],[Month]],1),#N/A)</f>
        <v>#N/A</v>
      </c>
      <c r="AU117" s="1" t="e">
        <f>IF(Table1[[#This Row],[Type (TX, RX, TRX, Oscillator)]]="Relay",Table1[[#This Row],[Total Number of Elements (TX + RX)]],#N/A)</f>
        <v>#N/A</v>
      </c>
      <c r="AV117" s="1" t="e">
        <f t="shared" si="63"/>
        <v>#N/A</v>
      </c>
      <c r="AW117" s="1" t="e">
        <f t="shared" si="64"/>
        <v>#N/A</v>
      </c>
      <c r="AX117" s="1" t="e">
        <f t="shared" si="65"/>
        <v>#N/A</v>
      </c>
      <c r="AY117" s="1" t="e">
        <f t="shared" si="66"/>
        <v>#N/A</v>
      </c>
      <c r="AZ117" s="1" t="e">
        <f t="shared" si="67"/>
        <v>#N/A</v>
      </c>
      <c r="BA117" s="1" t="e">
        <f t="shared" si="68"/>
        <v>#N/A</v>
      </c>
      <c r="BB117" s="1" t="e">
        <f t="shared" si="69"/>
        <v>#N/A</v>
      </c>
    </row>
    <row r="118" spans="1:54" x14ac:dyDescent="0.2">
      <c r="A118" s="1" t="e">
        <f>IF(OR(Table1[[#This Row],[Type (TX, RX, TRX, Oscillator)]]="TX", Table1[[#This Row],[Type (TX, RX, TRX, Oscillator)]]="TX FE"),Table1[[#This Row],[Frequency (GHz)]],#N/A)</f>
        <v>#N/A</v>
      </c>
      <c r="B118" s="30" t="e">
        <f>IF(OR(Table1[[#This Row],[Type (TX, RX, TRX, Oscillator)]]="TX", Table1[[#This Row],[Type (TX, RX, TRX, Oscillator)]]="TX FE"),DATE(Table1[[#This Row],[Year ]],Table1[[#This Row],[Month]],1),#N/A)</f>
        <v>#N/A</v>
      </c>
      <c r="C118" s="1" t="e">
        <f>IF(OR(Table1[[#This Row],[Type (TX, RX, TRX, Oscillator)]]="TX",Table1[[#This Row],[Type (TX, RX, TRX, Oscillator)]]="TX FE"),Table1[[#This Row],[Total Number of Elements (TX + RX)]],#N/A)</f>
        <v>#N/A</v>
      </c>
      <c r="D118" s="1" t="e">
        <f t="shared" si="35"/>
        <v>#N/A</v>
      </c>
      <c r="E118" s="1" t="e">
        <f t="shared" si="36"/>
        <v>#N/A</v>
      </c>
      <c r="F118" s="1" t="e">
        <f t="shared" si="37"/>
        <v>#N/A</v>
      </c>
      <c r="G118" s="1" t="e">
        <f t="shared" si="38"/>
        <v>#N/A</v>
      </c>
      <c r="H118" s="1" t="e">
        <f t="shared" si="39"/>
        <v>#N/A</v>
      </c>
      <c r="I118" s="1" t="e">
        <f t="shared" si="40"/>
        <v>#N/A</v>
      </c>
      <c r="J118" s="1" t="e">
        <f t="shared" si="41"/>
        <v>#N/A</v>
      </c>
      <c r="L118" s="1">
        <f>IF(OR(Table1[[#This Row],[Type (TX, RX, TRX, Oscillator)]]="RX", Table1[[#This Row],[Type (TX, RX, TRX, Oscillator)]]="RX FE"),Table1[[#This Row],[Frequency (GHz)]],#N/A)</f>
        <v>28</v>
      </c>
      <c r="M118" s="30">
        <f>IF(OR(Table1[[#This Row],[Type (TX, RX, TRX, Oscillator)]]="RX", Table1[[#This Row],[Type (TX, RX, TRX, Oscillator)]]="RX FE"),DATE(Table1[[#This Row],[Year ]],Table1[[#This Row],[Month]],1),#N/A)</f>
        <v>44835</v>
      </c>
      <c r="N118" s="1">
        <f>IF(OR(Table1[[#This Row],[Type (TX, RX, TRX, Oscillator)]]="RX", Table1[[#This Row],[Type (TX, RX, TRX, Oscillator)]]="RX FE"),Table1[[#This Row],[Total Number of Elements (TX + RX)]],#N/A)</f>
        <v>2</v>
      </c>
      <c r="O118" s="1" t="e">
        <f t="shared" si="42"/>
        <v>#N/A</v>
      </c>
      <c r="P118" s="1">
        <f t="shared" si="43"/>
        <v>2</v>
      </c>
      <c r="Q118" s="1" t="e">
        <f t="shared" si="44"/>
        <v>#N/A</v>
      </c>
      <c r="R118" s="1" t="e">
        <f t="shared" si="45"/>
        <v>#N/A</v>
      </c>
      <c r="S118" s="1" t="e">
        <f t="shared" si="46"/>
        <v>#N/A</v>
      </c>
      <c r="T118" s="1" t="e">
        <f t="shared" si="47"/>
        <v>#N/A</v>
      </c>
      <c r="U118" s="1" t="e">
        <f t="shared" si="48"/>
        <v>#N/A</v>
      </c>
      <c r="W118" s="1" t="e">
        <f>IF(OR(Table1[[#This Row],[Type (TX, RX, TRX, Oscillator)]]="TRX",Table1[[#This Row],[Type (TX, RX, TRX, Oscillator)]]="TRX FE"),Table1[[#This Row],[Frequency (GHz)]],#N/A)</f>
        <v>#N/A</v>
      </c>
      <c r="X118" s="30" t="e">
        <f>IF(OR(Table1[[#This Row],[Type (TX, RX, TRX, Oscillator)]]="TRX", Table1[[#This Row],[Type (TX, RX, TRX, Oscillator)]]="TRX FE"),DATE(Table1[[#This Row],[Year ]],Table1[[#This Row],[Month]],1),#N/A)</f>
        <v>#N/A</v>
      </c>
      <c r="Y118" s="1" t="e">
        <f>IF(OR(Table1[[#This Row],[Type (TX, RX, TRX, Oscillator)]]="TRX", Table1[[#This Row],[Type (TX, RX, TRX, Oscillator)]]="TRX FE"),Table1[[#This Row],[Total Number of Elements (TX + RX)]],#N/A)</f>
        <v>#N/A</v>
      </c>
      <c r="Z118" s="1" t="e">
        <f t="shared" si="49"/>
        <v>#N/A</v>
      </c>
      <c r="AA118" s="1" t="e">
        <f t="shared" si="50"/>
        <v>#N/A</v>
      </c>
      <c r="AB118" s="1" t="e">
        <f t="shared" si="51"/>
        <v>#N/A</v>
      </c>
      <c r="AC118" s="1" t="e">
        <f t="shared" si="52"/>
        <v>#N/A</v>
      </c>
      <c r="AD118" s="1" t="e">
        <f t="shared" si="53"/>
        <v>#N/A</v>
      </c>
      <c r="AE118" s="1" t="e">
        <f t="shared" si="54"/>
        <v>#N/A</v>
      </c>
      <c r="AF118" s="1" t="e">
        <f t="shared" si="55"/>
        <v>#N/A</v>
      </c>
      <c r="AH118" s="1" t="e">
        <f>IF(Table1[[#This Row],[Type (TX, RX, TRX, Oscillator)]]="Oscillator",Table1[[#This Row],[Frequency (GHz)]],#N/A)</f>
        <v>#N/A</v>
      </c>
      <c r="AI118" s="30" t="e">
        <f>IF(Table1[[#This Row],[Type (TX, RX, TRX, Oscillator)]]="Oscillator",DATE(Table1[[#This Row],[Year ]],Table1[[#This Row],[Month]],1),#N/A)</f>
        <v>#N/A</v>
      </c>
      <c r="AJ118" s="1" t="e">
        <f>IF(Table1[[#This Row],[Type (TX, RX, TRX, Oscillator)]]="Oscillator",Table1[[#This Row],[Total Number of Elements (TX + RX)]],#N/A)</f>
        <v>#N/A</v>
      </c>
      <c r="AK118" s="1" t="e">
        <f t="shared" si="56"/>
        <v>#N/A</v>
      </c>
      <c r="AL118" s="1" t="e">
        <f t="shared" si="57"/>
        <v>#N/A</v>
      </c>
      <c r="AM118" s="1" t="e">
        <f t="shared" si="58"/>
        <v>#N/A</v>
      </c>
      <c r="AN118" s="1" t="e">
        <f t="shared" si="59"/>
        <v>#N/A</v>
      </c>
      <c r="AO118" s="1" t="e">
        <f t="shared" si="60"/>
        <v>#N/A</v>
      </c>
      <c r="AP118" s="1" t="e">
        <f t="shared" si="61"/>
        <v>#N/A</v>
      </c>
      <c r="AQ118" s="1" t="e">
        <f t="shared" si="62"/>
        <v>#N/A</v>
      </c>
      <c r="AS118" s="1" t="e">
        <f>IF(Table1[[#This Row],[Type (TX, RX, TRX, Oscillator)]]="Relay",Table1[[#This Row],[Frequency (GHz)]],#N/A)</f>
        <v>#N/A</v>
      </c>
      <c r="AT118" s="30" t="e">
        <f>IF(Table1[[#This Row],[Type (TX, RX, TRX, Oscillator)]]="Relay",DATE(Table1[[#This Row],[Year ]],Table1[[#This Row],[Month]],1),#N/A)</f>
        <v>#N/A</v>
      </c>
      <c r="AU118" s="1" t="e">
        <f>IF(Table1[[#This Row],[Type (TX, RX, TRX, Oscillator)]]="Relay",Table1[[#This Row],[Total Number of Elements (TX + RX)]],#N/A)</f>
        <v>#N/A</v>
      </c>
      <c r="AV118" s="1" t="e">
        <f t="shared" si="63"/>
        <v>#N/A</v>
      </c>
      <c r="AW118" s="1" t="e">
        <f t="shared" si="64"/>
        <v>#N/A</v>
      </c>
      <c r="AX118" s="1" t="e">
        <f t="shared" si="65"/>
        <v>#N/A</v>
      </c>
      <c r="AY118" s="1" t="e">
        <f t="shared" si="66"/>
        <v>#N/A</v>
      </c>
      <c r="AZ118" s="1" t="e">
        <f t="shared" si="67"/>
        <v>#N/A</v>
      </c>
      <c r="BA118" s="1" t="e">
        <f t="shared" si="68"/>
        <v>#N/A</v>
      </c>
      <c r="BB118" s="1" t="e">
        <f t="shared" si="69"/>
        <v>#N/A</v>
      </c>
    </row>
    <row r="119" spans="1:54" x14ac:dyDescent="0.2">
      <c r="A119" s="1" t="e">
        <f>IF(OR(Table1[[#This Row],[Type (TX, RX, TRX, Oscillator)]]="TX", Table1[[#This Row],[Type (TX, RX, TRX, Oscillator)]]="TX FE"),Table1[[#This Row],[Frequency (GHz)]],#N/A)</f>
        <v>#N/A</v>
      </c>
      <c r="B119" s="30" t="e">
        <f>IF(OR(Table1[[#This Row],[Type (TX, RX, TRX, Oscillator)]]="TX", Table1[[#This Row],[Type (TX, RX, TRX, Oscillator)]]="TX FE"),DATE(Table1[[#This Row],[Year ]],Table1[[#This Row],[Month]],1),#N/A)</f>
        <v>#N/A</v>
      </c>
      <c r="C119" s="1" t="e">
        <f>IF(OR(Table1[[#This Row],[Type (TX, RX, TRX, Oscillator)]]="TX",Table1[[#This Row],[Type (TX, RX, TRX, Oscillator)]]="TX FE"),Table1[[#This Row],[Total Number of Elements (TX + RX)]],#N/A)</f>
        <v>#N/A</v>
      </c>
      <c r="D119" s="1" t="e">
        <f t="shared" si="35"/>
        <v>#N/A</v>
      </c>
      <c r="E119" s="1" t="e">
        <f t="shared" si="36"/>
        <v>#N/A</v>
      </c>
      <c r="F119" s="1" t="e">
        <f t="shared" si="37"/>
        <v>#N/A</v>
      </c>
      <c r="G119" s="1" t="e">
        <f t="shared" si="38"/>
        <v>#N/A</v>
      </c>
      <c r="H119" s="1" t="e">
        <f t="shared" si="39"/>
        <v>#N/A</v>
      </c>
      <c r="I119" s="1" t="e">
        <f t="shared" si="40"/>
        <v>#N/A</v>
      </c>
      <c r="J119" s="1" t="e">
        <f t="shared" si="41"/>
        <v>#N/A</v>
      </c>
      <c r="L119" s="1">
        <f>IF(OR(Table1[[#This Row],[Type (TX, RX, TRX, Oscillator)]]="RX", Table1[[#This Row],[Type (TX, RX, TRX, Oscillator)]]="RX FE"),Table1[[#This Row],[Frequency (GHz)]],#N/A)</f>
        <v>39</v>
      </c>
      <c r="M119" s="30">
        <f>IF(OR(Table1[[#This Row],[Type (TX, RX, TRX, Oscillator)]]="RX", Table1[[#This Row],[Type (TX, RX, TRX, Oscillator)]]="RX FE"),DATE(Table1[[#This Row],[Year ]],Table1[[#This Row],[Month]],1),#N/A)</f>
        <v>44835</v>
      </c>
      <c r="N119" s="1">
        <f>IF(OR(Table1[[#This Row],[Type (TX, RX, TRX, Oscillator)]]="RX", Table1[[#This Row],[Type (TX, RX, TRX, Oscillator)]]="RX FE"),Table1[[#This Row],[Total Number of Elements (TX + RX)]],#N/A)</f>
        <v>2</v>
      </c>
      <c r="O119" s="1" t="e">
        <f t="shared" si="42"/>
        <v>#N/A</v>
      </c>
      <c r="P119" s="1">
        <f t="shared" si="43"/>
        <v>2</v>
      </c>
      <c r="Q119" s="1" t="e">
        <f t="shared" si="44"/>
        <v>#N/A</v>
      </c>
      <c r="R119" s="1" t="e">
        <f t="shared" si="45"/>
        <v>#N/A</v>
      </c>
      <c r="S119" s="1" t="e">
        <f t="shared" si="46"/>
        <v>#N/A</v>
      </c>
      <c r="T119" s="1" t="e">
        <f t="shared" si="47"/>
        <v>#N/A</v>
      </c>
      <c r="U119" s="1" t="e">
        <f t="shared" si="48"/>
        <v>#N/A</v>
      </c>
      <c r="W119" s="1" t="e">
        <f>IF(OR(Table1[[#This Row],[Type (TX, RX, TRX, Oscillator)]]="TRX",Table1[[#This Row],[Type (TX, RX, TRX, Oscillator)]]="TRX FE"),Table1[[#This Row],[Frequency (GHz)]],#N/A)</f>
        <v>#N/A</v>
      </c>
      <c r="X119" s="30" t="e">
        <f>IF(OR(Table1[[#This Row],[Type (TX, RX, TRX, Oscillator)]]="TRX", Table1[[#This Row],[Type (TX, RX, TRX, Oscillator)]]="TRX FE"),DATE(Table1[[#This Row],[Year ]],Table1[[#This Row],[Month]],1),#N/A)</f>
        <v>#N/A</v>
      </c>
      <c r="Y119" s="1" t="e">
        <f>IF(OR(Table1[[#This Row],[Type (TX, RX, TRX, Oscillator)]]="TRX", Table1[[#This Row],[Type (TX, RX, TRX, Oscillator)]]="TRX FE"),Table1[[#This Row],[Total Number of Elements (TX + RX)]],#N/A)</f>
        <v>#N/A</v>
      </c>
      <c r="Z119" s="1" t="e">
        <f t="shared" si="49"/>
        <v>#N/A</v>
      </c>
      <c r="AA119" s="1" t="e">
        <f t="shared" si="50"/>
        <v>#N/A</v>
      </c>
      <c r="AB119" s="1" t="e">
        <f t="shared" si="51"/>
        <v>#N/A</v>
      </c>
      <c r="AC119" s="1" t="e">
        <f t="shared" si="52"/>
        <v>#N/A</v>
      </c>
      <c r="AD119" s="1" t="e">
        <f t="shared" si="53"/>
        <v>#N/A</v>
      </c>
      <c r="AE119" s="1" t="e">
        <f t="shared" si="54"/>
        <v>#N/A</v>
      </c>
      <c r="AF119" s="1" t="e">
        <f t="shared" si="55"/>
        <v>#N/A</v>
      </c>
      <c r="AH119" s="1" t="e">
        <f>IF(Table1[[#This Row],[Type (TX, RX, TRX, Oscillator)]]="Oscillator",Table1[[#This Row],[Frequency (GHz)]],#N/A)</f>
        <v>#N/A</v>
      </c>
      <c r="AI119" s="30" t="e">
        <f>IF(Table1[[#This Row],[Type (TX, RX, TRX, Oscillator)]]="Oscillator",DATE(Table1[[#This Row],[Year ]],Table1[[#This Row],[Month]],1),#N/A)</f>
        <v>#N/A</v>
      </c>
      <c r="AJ119" s="1" t="e">
        <f>IF(Table1[[#This Row],[Type (TX, RX, TRX, Oscillator)]]="Oscillator",Table1[[#This Row],[Total Number of Elements (TX + RX)]],#N/A)</f>
        <v>#N/A</v>
      </c>
      <c r="AK119" s="1" t="e">
        <f t="shared" si="56"/>
        <v>#N/A</v>
      </c>
      <c r="AL119" s="1" t="e">
        <f t="shared" si="57"/>
        <v>#N/A</v>
      </c>
      <c r="AM119" s="1" t="e">
        <f t="shared" si="58"/>
        <v>#N/A</v>
      </c>
      <c r="AN119" s="1" t="e">
        <f t="shared" si="59"/>
        <v>#N/A</v>
      </c>
      <c r="AO119" s="1" t="e">
        <f t="shared" si="60"/>
        <v>#N/A</v>
      </c>
      <c r="AP119" s="1" t="e">
        <f t="shared" si="61"/>
        <v>#N/A</v>
      </c>
      <c r="AQ119" s="1" t="e">
        <f t="shared" si="62"/>
        <v>#N/A</v>
      </c>
      <c r="AS119" s="1" t="e">
        <f>IF(Table1[[#This Row],[Type (TX, RX, TRX, Oscillator)]]="Relay",Table1[[#This Row],[Frequency (GHz)]],#N/A)</f>
        <v>#N/A</v>
      </c>
      <c r="AT119" s="30" t="e">
        <f>IF(Table1[[#This Row],[Type (TX, RX, TRX, Oscillator)]]="Relay",DATE(Table1[[#This Row],[Year ]],Table1[[#This Row],[Month]],1),#N/A)</f>
        <v>#N/A</v>
      </c>
      <c r="AU119" s="1" t="e">
        <f>IF(Table1[[#This Row],[Type (TX, RX, TRX, Oscillator)]]="Relay",Table1[[#This Row],[Total Number of Elements (TX + RX)]],#N/A)</f>
        <v>#N/A</v>
      </c>
      <c r="AV119" s="1" t="e">
        <f t="shared" si="63"/>
        <v>#N/A</v>
      </c>
      <c r="AW119" s="1" t="e">
        <f t="shared" si="64"/>
        <v>#N/A</v>
      </c>
      <c r="AX119" s="1" t="e">
        <f t="shared" si="65"/>
        <v>#N/A</v>
      </c>
      <c r="AY119" s="1" t="e">
        <f t="shared" si="66"/>
        <v>#N/A</v>
      </c>
      <c r="AZ119" s="1" t="e">
        <f t="shared" si="67"/>
        <v>#N/A</v>
      </c>
      <c r="BA119" s="1" t="e">
        <f t="shared" si="68"/>
        <v>#N/A</v>
      </c>
      <c r="BB119" s="1" t="e">
        <f t="shared" si="69"/>
        <v>#N/A</v>
      </c>
    </row>
    <row r="120" spans="1:54" x14ac:dyDescent="0.2">
      <c r="A120" s="1" t="e">
        <f>IF(OR(Table1[[#This Row],[Type (TX, RX, TRX, Oscillator)]]="TX", Table1[[#This Row],[Type (TX, RX, TRX, Oscillator)]]="TX FE"),Table1[[#This Row],[Frequency (GHz)]],#N/A)</f>
        <v>#N/A</v>
      </c>
      <c r="B120" s="30" t="e">
        <f>IF(OR(Table1[[#This Row],[Type (TX, RX, TRX, Oscillator)]]="TX", Table1[[#This Row],[Type (TX, RX, TRX, Oscillator)]]="TX FE"),DATE(Table1[[#This Row],[Year ]],Table1[[#This Row],[Month]],1),#N/A)</f>
        <v>#N/A</v>
      </c>
      <c r="C120" s="1" t="e">
        <f>IF(OR(Table1[[#This Row],[Type (TX, RX, TRX, Oscillator)]]="TX",Table1[[#This Row],[Type (TX, RX, TRX, Oscillator)]]="TX FE"),Table1[[#This Row],[Total Number of Elements (TX + RX)]],#N/A)</f>
        <v>#N/A</v>
      </c>
      <c r="D120" s="1" t="e">
        <f t="shared" si="35"/>
        <v>#N/A</v>
      </c>
      <c r="E120" s="1" t="e">
        <f t="shared" si="36"/>
        <v>#N/A</v>
      </c>
      <c r="F120" s="1" t="e">
        <f t="shared" si="37"/>
        <v>#N/A</v>
      </c>
      <c r="G120" s="1" t="e">
        <f t="shared" si="38"/>
        <v>#N/A</v>
      </c>
      <c r="H120" s="1" t="e">
        <f t="shared" si="39"/>
        <v>#N/A</v>
      </c>
      <c r="I120" s="1" t="e">
        <f t="shared" si="40"/>
        <v>#N/A</v>
      </c>
      <c r="J120" s="1" t="e">
        <f t="shared" si="41"/>
        <v>#N/A</v>
      </c>
      <c r="L120" s="1">
        <f>IF(OR(Table1[[#This Row],[Type (TX, RX, TRX, Oscillator)]]="RX", Table1[[#This Row],[Type (TX, RX, TRX, Oscillator)]]="RX FE"),Table1[[#This Row],[Frequency (GHz)]],#N/A)</f>
        <v>47.2</v>
      </c>
      <c r="M120" s="30">
        <f>IF(OR(Table1[[#This Row],[Type (TX, RX, TRX, Oscillator)]]="RX", Table1[[#This Row],[Type (TX, RX, TRX, Oscillator)]]="RX FE"),DATE(Table1[[#This Row],[Year ]],Table1[[#This Row],[Month]],1),#N/A)</f>
        <v>44835</v>
      </c>
      <c r="N120" s="1">
        <f>IF(OR(Table1[[#This Row],[Type (TX, RX, TRX, Oscillator)]]="RX", Table1[[#This Row],[Type (TX, RX, TRX, Oscillator)]]="RX FE"),Table1[[#This Row],[Total Number of Elements (TX + RX)]],#N/A)</f>
        <v>2</v>
      </c>
      <c r="O120" s="1" t="e">
        <f t="shared" si="42"/>
        <v>#N/A</v>
      </c>
      <c r="P120" s="1">
        <f t="shared" si="43"/>
        <v>2</v>
      </c>
      <c r="Q120" s="1" t="e">
        <f t="shared" si="44"/>
        <v>#N/A</v>
      </c>
      <c r="R120" s="1" t="e">
        <f t="shared" si="45"/>
        <v>#N/A</v>
      </c>
      <c r="S120" s="1" t="e">
        <f t="shared" si="46"/>
        <v>#N/A</v>
      </c>
      <c r="T120" s="1" t="e">
        <f t="shared" si="47"/>
        <v>#N/A</v>
      </c>
      <c r="U120" s="1" t="e">
        <f t="shared" si="48"/>
        <v>#N/A</v>
      </c>
      <c r="W120" s="1" t="e">
        <f>IF(OR(Table1[[#This Row],[Type (TX, RX, TRX, Oscillator)]]="TRX",Table1[[#This Row],[Type (TX, RX, TRX, Oscillator)]]="TRX FE"),Table1[[#This Row],[Frequency (GHz)]],#N/A)</f>
        <v>#N/A</v>
      </c>
      <c r="X120" s="30" t="e">
        <f>IF(OR(Table1[[#This Row],[Type (TX, RX, TRX, Oscillator)]]="TRX", Table1[[#This Row],[Type (TX, RX, TRX, Oscillator)]]="TRX FE"),DATE(Table1[[#This Row],[Year ]],Table1[[#This Row],[Month]],1),#N/A)</f>
        <v>#N/A</v>
      </c>
      <c r="Y120" s="1" t="e">
        <f>IF(OR(Table1[[#This Row],[Type (TX, RX, TRX, Oscillator)]]="TRX", Table1[[#This Row],[Type (TX, RX, TRX, Oscillator)]]="TRX FE"),Table1[[#This Row],[Total Number of Elements (TX + RX)]],#N/A)</f>
        <v>#N/A</v>
      </c>
      <c r="Z120" s="1" t="e">
        <f t="shared" si="49"/>
        <v>#N/A</v>
      </c>
      <c r="AA120" s="1" t="e">
        <f t="shared" si="50"/>
        <v>#N/A</v>
      </c>
      <c r="AB120" s="1" t="e">
        <f t="shared" si="51"/>
        <v>#N/A</v>
      </c>
      <c r="AC120" s="1" t="e">
        <f t="shared" si="52"/>
        <v>#N/A</v>
      </c>
      <c r="AD120" s="1" t="e">
        <f t="shared" si="53"/>
        <v>#N/A</v>
      </c>
      <c r="AE120" s="1" t="e">
        <f t="shared" si="54"/>
        <v>#N/A</v>
      </c>
      <c r="AF120" s="1" t="e">
        <f t="shared" si="55"/>
        <v>#N/A</v>
      </c>
      <c r="AH120" s="1" t="e">
        <f>IF(Table1[[#This Row],[Type (TX, RX, TRX, Oscillator)]]="Oscillator",Table1[[#This Row],[Frequency (GHz)]],#N/A)</f>
        <v>#N/A</v>
      </c>
      <c r="AI120" s="30" t="e">
        <f>IF(Table1[[#This Row],[Type (TX, RX, TRX, Oscillator)]]="Oscillator",DATE(Table1[[#This Row],[Year ]],Table1[[#This Row],[Month]],1),#N/A)</f>
        <v>#N/A</v>
      </c>
      <c r="AJ120" s="1" t="e">
        <f>IF(Table1[[#This Row],[Type (TX, RX, TRX, Oscillator)]]="Oscillator",Table1[[#This Row],[Total Number of Elements (TX + RX)]],#N/A)</f>
        <v>#N/A</v>
      </c>
      <c r="AK120" s="1" t="e">
        <f t="shared" si="56"/>
        <v>#N/A</v>
      </c>
      <c r="AL120" s="1" t="e">
        <f t="shared" si="57"/>
        <v>#N/A</v>
      </c>
      <c r="AM120" s="1" t="e">
        <f t="shared" si="58"/>
        <v>#N/A</v>
      </c>
      <c r="AN120" s="1" t="e">
        <f t="shared" si="59"/>
        <v>#N/A</v>
      </c>
      <c r="AO120" s="1" t="e">
        <f t="shared" si="60"/>
        <v>#N/A</v>
      </c>
      <c r="AP120" s="1" t="e">
        <f t="shared" si="61"/>
        <v>#N/A</v>
      </c>
      <c r="AQ120" s="1" t="e">
        <f t="shared" si="62"/>
        <v>#N/A</v>
      </c>
      <c r="AS120" s="1" t="e">
        <f>IF(Table1[[#This Row],[Type (TX, RX, TRX, Oscillator)]]="Relay",Table1[[#This Row],[Frequency (GHz)]],#N/A)</f>
        <v>#N/A</v>
      </c>
      <c r="AT120" s="30" t="e">
        <f>IF(Table1[[#This Row],[Type (TX, RX, TRX, Oscillator)]]="Relay",DATE(Table1[[#This Row],[Year ]],Table1[[#This Row],[Month]],1),#N/A)</f>
        <v>#N/A</v>
      </c>
      <c r="AU120" s="1" t="e">
        <f>IF(Table1[[#This Row],[Type (TX, RX, TRX, Oscillator)]]="Relay",Table1[[#This Row],[Total Number of Elements (TX + RX)]],#N/A)</f>
        <v>#N/A</v>
      </c>
      <c r="AV120" s="1" t="e">
        <f t="shared" si="63"/>
        <v>#N/A</v>
      </c>
      <c r="AW120" s="1" t="e">
        <f t="shared" si="64"/>
        <v>#N/A</v>
      </c>
      <c r="AX120" s="1" t="e">
        <f t="shared" si="65"/>
        <v>#N/A</v>
      </c>
      <c r="AY120" s="1" t="e">
        <f t="shared" si="66"/>
        <v>#N/A</v>
      </c>
      <c r="AZ120" s="1" t="e">
        <f t="shared" si="67"/>
        <v>#N/A</v>
      </c>
      <c r="BA120" s="1" t="e">
        <f t="shared" si="68"/>
        <v>#N/A</v>
      </c>
      <c r="BB120" s="1" t="e">
        <f t="shared" si="69"/>
        <v>#N/A</v>
      </c>
    </row>
    <row r="121" spans="1:54" x14ac:dyDescent="0.2">
      <c r="A121" s="1" t="e">
        <f>IF(OR(Table1[[#This Row],[Type (TX, RX, TRX, Oscillator)]]="TX", Table1[[#This Row],[Type (TX, RX, TRX, Oscillator)]]="TX FE"),Table1[[#This Row],[Frequency (GHz)]],#N/A)</f>
        <v>#N/A</v>
      </c>
      <c r="B121" s="30" t="e">
        <f>IF(OR(Table1[[#This Row],[Type (TX, RX, TRX, Oscillator)]]="TX", Table1[[#This Row],[Type (TX, RX, TRX, Oscillator)]]="TX FE"),DATE(Table1[[#This Row],[Year ]],Table1[[#This Row],[Month]],1),#N/A)</f>
        <v>#N/A</v>
      </c>
      <c r="C121" s="1" t="e">
        <f>IF(OR(Table1[[#This Row],[Type (TX, RX, TRX, Oscillator)]]="TX",Table1[[#This Row],[Type (TX, RX, TRX, Oscillator)]]="TX FE"),Table1[[#This Row],[Total Number of Elements (TX + RX)]],#N/A)</f>
        <v>#N/A</v>
      </c>
      <c r="D121" s="1" t="e">
        <f t="shared" si="35"/>
        <v>#N/A</v>
      </c>
      <c r="E121" s="1" t="e">
        <f t="shared" si="36"/>
        <v>#N/A</v>
      </c>
      <c r="F121" s="1" t="e">
        <f t="shared" si="37"/>
        <v>#N/A</v>
      </c>
      <c r="G121" s="1" t="e">
        <f t="shared" si="38"/>
        <v>#N/A</v>
      </c>
      <c r="H121" s="1" t="e">
        <f t="shared" si="39"/>
        <v>#N/A</v>
      </c>
      <c r="I121" s="1" t="e">
        <f t="shared" si="40"/>
        <v>#N/A</v>
      </c>
      <c r="J121" s="1" t="e">
        <f t="shared" si="41"/>
        <v>#N/A</v>
      </c>
      <c r="L121" s="1">
        <f>IF(OR(Table1[[#This Row],[Type (TX, RX, TRX, Oscillator)]]="RX", Table1[[#This Row],[Type (TX, RX, TRX, Oscillator)]]="RX FE"),Table1[[#This Row],[Frequency (GHz)]],#N/A)</f>
        <v>60.1</v>
      </c>
      <c r="M121" s="30">
        <f>IF(OR(Table1[[#This Row],[Type (TX, RX, TRX, Oscillator)]]="RX", Table1[[#This Row],[Type (TX, RX, TRX, Oscillator)]]="RX FE"),DATE(Table1[[#This Row],[Year ]],Table1[[#This Row],[Month]],1),#N/A)</f>
        <v>44835</v>
      </c>
      <c r="N121" s="1">
        <f>IF(OR(Table1[[#This Row],[Type (TX, RX, TRX, Oscillator)]]="RX", Table1[[#This Row],[Type (TX, RX, TRX, Oscillator)]]="RX FE"),Table1[[#This Row],[Total Number of Elements (TX + RX)]],#N/A)</f>
        <v>2</v>
      </c>
      <c r="O121" s="1" t="e">
        <f t="shared" si="42"/>
        <v>#N/A</v>
      </c>
      <c r="P121" s="1" t="e">
        <f t="shared" si="43"/>
        <v>#N/A</v>
      </c>
      <c r="Q121" s="1">
        <f t="shared" si="44"/>
        <v>2</v>
      </c>
      <c r="R121" s="1" t="e">
        <f t="shared" si="45"/>
        <v>#N/A</v>
      </c>
      <c r="S121" s="1" t="e">
        <f t="shared" si="46"/>
        <v>#N/A</v>
      </c>
      <c r="T121" s="1" t="e">
        <f t="shared" si="47"/>
        <v>#N/A</v>
      </c>
      <c r="U121" s="1" t="e">
        <f t="shared" si="48"/>
        <v>#N/A</v>
      </c>
      <c r="W121" s="1" t="e">
        <f>IF(OR(Table1[[#This Row],[Type (TX, RX, TRX, Oscillator)]]="TRX",Table1[[#This Row],[Type (TX, RX, TRX, Oscillator)]]="TRX FE"),Table1[[#This Row],[Frequency (GHz)]],#N/A)</f>
        <v>#N/A</v>
      </c>
      <c r="X121" s="30" t="e">
        <f>IF(OR(Table1[[#This Row],[Type (TX, RX, TRX, Oscillator)]]="TRX", Table1[[#This Row],[Type (TX, RX, TRX, Oscillator)]]="TRX FE"),DATE(Table1[[#This Row],[Year ]],Table1[[#This Row],[Month]],1),#N/A)</f>
        <v>#N/A</v>
      </c>
      <c r="Y121" s="1" t="e">
        <f>IF(OR(Table1[[#This Row],[Type (TX, RX, TRX, Oscillator)]]="TRX", Table1[[#This Row],[Type (TX, RX, TRX, Oscillator)]]="TRX FE"),Table1[[#This Row],[Total Number of Elements (TX + RX)]],#N/A)</f>
        <v>#N/A</v>
      </c>
      <c r="Z121" s="1" t="e">
        <f t="shared" si="49"/>
        <v>#N/A</v>
      </c>
      <c r="AA121" s="1" t="e">
        <f t="shared" si="50"/>
        <v>#N/A</v>
      </c>
      <c r="AB121" s="1" t="e">
        <f t="shared" si="51"/>
        <v>#N/A</v>
      </c>
      <c r="AC121" s="1" t="e">
        <f t="shared" si="52"/>
        <v>#N/A</v>
      </c>
      <c r="AD121" s="1" t="e">
        <f t="shared" si="53"/>
        <v>#N/A</v>
      </c>
      <c r="AE121" s="1" t="e">
        <f t="shared" si="54"/>
        <v>#N/A</v>
      </c>
      <c r="AF121" s="1" t="e">
        <f t="shared" si="55"/>
        <v>#N/A</v>
      </c>
      <c r="AH121" s="1" t="e">
        <f>IF(Table1[[#This Row],[Type (TX, RX, TRX, Oscillator)]]="Oscillator",Table1[[#This Row],[Frequency (GHz)]],#N/A)</f>
        <v>#N/A</v>
      </c>
      <c r="AI121" s="30" t="e">
        <f>IF(Table1[[#This Row],[Type (TX, RX, TRX, Oscillator)]]="Oscillator",DATE(Table1[[#This Row],[Year ]],Table1[[#This Row],[Month]],1),#N/A)</f>
        <v>#N/A</v>
      </c>
      <c r="AJ121" s="1" t="e">
        <f>IF(Table1[[#This Row],[Type (TX, RX, TRX, Oscillator)]]="Oscillator",Table1[[#This Row],[Total Number of Elements (TX + RX)]],#N/A)</f>
        <v>#N/A</v>
      </c>
      <c r="AK121" s="1" t="e">
        <f t="shared" si="56"/>
        <v>#N/A</v>
      </c>
      <c r="AL121" s="1" t="e">
        <f t="shared" si="57"/>
        <v>#N/A</v>
      </c>
      <c r="AM121" s="1" t="e">
        <f t="shared" si="58"/>
        <v>#N/A</v>
      </c>
      <c r="AN121" s="1" t="e">
        <f t="shared" si="59"/>
        <v>#N/A</v>
      </c>
      <c r="AO121" s="1" t="e">
        <f t="shared" si="60"/>
        <v>#N/A</v>
      </c>
      <c r="AP121" s="1" t="e">
        <f t="shared" si="61"/>
        <v>#N/A</v>
      </c>
      <c r="AQ121" s="1" t="e">
        <f t="shared" si="62"/>
        <v>#N/A</v>
      </c>
      <c r="AS121" s="1" t="e">
        <f>IF(Table1[[#This Row],[Type (TX, RX, TRX, Oscillator)]]="Relay",Table1[[#This Row],[Frequency (GHz)]],#N/A)</f>
        <v>#N/A</v>
      </c>
      <c r="AT121" s="30" t="e">
        <f>IF(Table1[[#This Row],[Type (TX, RX, TRX, Oscillator)]]="Relay",DATE(Table1[[#This Row],[Year ]],Table1[[#This Row],[Month]],1),#N/A)</f>
        <v>#N/A</v>
      </c>
      <c r="AU121" s="1" t="e">
        <f>IF(Table1[[#This Row],[Type (TX, RX, TRX, Oscillator)]]="Relay",Table1[[#This Row],[Total Number of Elements (TX + RX)]],#N/A)</f>
        <v>#N/A</v>
      </c>
      <c r="AV121" s="1" t="e">
        <f t="shared" si="63"/>
        <v>#N/A</v>
      </c>
      <c r="AW121" s="1" t="e">
        <f t="shared" si="64"/>
        <v>#N/A</v>
      </c>
      <c r="AX121" s="1" t="e">
        <f t="shared" si="65"/>
        <v>#N/A</v>
      </c>
      <c r="AY121" s="1" t="e">
        <f t="shared" si="66"/>
        <v>#N/A</v>
      </c>
      <c r="AZ121" s="1" t="e">
        <f t="shared" si="67"/>
        <v>#N/A</v>
      </c>
      <c r="BA121" s="1" t="e">
        <f t="shared" si="68"/>
        <v>#N/A</v>
      </c>
      <c r="BB121" s="1" t="e">
        <f t="shared" si="69"/>
        <v>#N/A</v>
      </c>
    </row>
    <row r="122" spans="1:54" x14ac:dyDescent="0.2">
      <c r="A122" s="1" t="e">
        <f>IF(OR(Table1[[#This Row],[Type (TX, RX, TRX, Oscillator)]]="TX", Table1[[#This Row],[Type (TX, RX, TRX, Oscillator)]]="TX FE"),Table1[[#This Row],[Frequency (GHz)]],#N/A)</f>
        <v>#N/A</v>
      </c>
      <c r="B122" s="30" t="e">
        <f>IF(OR(Table1[[#This Row],[Type (TX, RX, TRX, Oscillator)]]="TX", Table1[[#This Row],[Type (TX, RX, TRX, Oscillator)]]="TX FE"),DATE(Table1[[#This Row],[Year ]],Table1[[#This Row],[Month]],1),#N/A)</f>
        <v>#N/A</v>
      </c>
      <c r="C122" s="1" t="e">
        <f>IF(OR(Table1[[#This Row],[Type (TX, RX, TRX, Oscillator)]]="TX",Table1[[#This Row],[Type (TX, RX, TRX, Oscillator)]]="TX FE"),Table1[[#This Row],[Total Number of Elements (TX + RX)]],#N/A)</f>
        <v>#N/A</v>
      </c>
      <c r="D122" s="1" t="e">
        <f t="shared" si="35"/>
        <v>#N/A</v>
      </c>
      <c r="E122" s="1" t="e">
        <f t="shared" si="36"/>
        <v>#N/A</v>
      </c>
      <c r="F122" s="1" t="e">
        <f t="shared" si="37"/>
        <v>#N/A</v>
      </c>
      <c r="G122" s="1" t="e">
        <f t="shared" si="38"/>
        <v>#N/A</v>
      </c>
      <c r="H122" s="1" t="e">
        <f t="shared" si="39"/>
        <v>#N/A</v>
      </c>
      <c r="I122" s="1" t="e">
        <f t="shared" si="40"/>
        <v>#N/A</v>
      </c>
      <c r="J122" s="1" t="e">
        <f t="shared" si="41"/>
        <v>#N/A</v>
      </c>
      <c r="L122" s="1">
        <f>IF(OR(Table1[[#This Row],[Type (TX, RX, TRX, Oscillator)]]="RX", Table1[[#This Row],[Type (TX, RX, TRX, Oscillator)]]="RX FE"),Table1[[#This Row],[Frequency (GHz)]],#N/A)</f>
        <v>28</v>
      </c>
      <c r="M122" s="30">
        <f>IF(OR(Table1[[#This Row],[Type (TX, RX, TRX, Oscillator)]]="RX", Table1[[#This Row],[Type (TX, RX, TRX, Oscillator)]]="RX FE"),DATE(Table1[[#This Row],[Year ]],Table1[[#This Row],[Month]],1),#N/A)</f>
        <v>44866</v>
      </c>
      <c r="N122" s="1">
        <f>IF(OR(Table1[[#This Row],[Type (TX, RX, TRX, Oscillator)]]="RX", Table1[[#This Row],[Type (TX, RX, TRX, Oscillator)]]="RX FE"),Table1[[#This Row],[Total Number of Elements (TX + RX)]],#N/A)</f>
        <v>4</v>
      </c>
      <c r="O122" s="1" t="e">
        <f t="shared" si="42"/>
        <v>#N/A</v>
      </c>
      <c r="P122" s="1">
        <f t="shared" si="43"/>
        <v>4</v>
      </c>
      <c r="Q122" s="1" t="e">
        <f t="shared" si="44"/>
        <v>#N/A</v>
      </c>
      <c r="R122" s="1" t="e">
        <f t="shared" si="45"/>
        <v>#N/A</v>
      </c>
      <c r="S122" s="1" t="e">
        <f t="shared" si="46"/>
        <v>#N/A</v>
      </c>
      <c r="T122" s="1" t="e">
        <f t="shared" si="47"/>
        <v>#N/A</v>
      </c>
      <c r="U122" s="1" t="e">
        <f t="shared" si="48"/>
        <v>#N/A</v>
      </c>
      <c r="W122" s="1" t="e">
        <f>IF(OR(Table1[[#This Row],[Type (TX, RX, TRX, Oscillator)]]="TRX",Table1[[#This Row],[Type (TX, RX, TRX, Oscillator)]]="TRX FE"),Table1[[#This Row],[Frequency (GHz)]],#N/A)</f>
        <v>#N/A</v>
      </c>
      <c r="X122" s="30" t="e">
        <f>IF(OR(Table1[[#This Row],[Type (TX, RX, TRX, Oscillator)]]="TRX", Table1[[#This Row],[Type (TX, RX, TRX, Oscillator)]]="TRX FE"),DATE(Table1[[#This Row],[Year ]],Table1[[#This Row],[Month]],1),#N/A)</f>
        <v>#N/A</v>
      </c>
      <c r="Y122" s="1" t="e">
        <f>IF(OR(Table1[[#This Row],[Type (TX, RX, TRX, Oscillator)]]="TRX", Table1[[#This Row],[Type (TX, RX, TRX, Oscillator)]]="TRX FE"),Table1[[#This Row],[Total Number of Elements (TX + RX)]],#N/A)</f>
        <v>#N/A</v>
      </c>
      <c r="Z122" s="1" t="e">
        <f t="shared" si="49"/>
        <v>#N/A</v>
      </c>
      <c r="AA122" s="1" t="e">
        <f t="shared" si="50"/>
        <v>#N/A</v>
      </c>
      <c r="AB122" s="1" t="e">
        <f t="shared" si="51"/>
        <v>#N/A</v>
      </c>
      <c r="AC122" s="1" t="e">
        <f t="shared" si="52"/>
        <v>#N/A</v>
      </c>
      <c r="AD122" s="1" t="e">
        <f t="shared" si="53"/>
        <v>#N/A</v>
      </c>
      <c r="AE122" s="1" t="e">
        <f t="shared" si="54"/>
        <v>#N/A</v>
      </c>
      <c r="AF122" s="1" t="e">
        <f t="shared" si="55"/>
        <v>#N/A</v>
      </c>
      <c r="AH122" s="1" t="e">
        <f>IF(Table1[[#This Row],[Type (TX, RX, TRX, Oscillator)]]="Oscillator",Table1[[#This Row],[Frequency (GHz)]],#N/A)</f>
        <v>#N/A</v>
      </c>
      <c r="AI122" s="30" t="e">
        <f>IF(Table1[[#This Row],[Type (TX, RX, TRX, Oscillator)]]="Oscillator",DATE(Table1[[#This Row],[Year ]],Table1[[#This Row],[Month]],1),#N/A)</f>
        <v>#N/A</v>
      </c>
      <c r="AJ122" s="1" t="e">
        <f>IF(Table1[[#This Row],[Type (TX, RX, TRX, Oscillator)]]="Oscillator",Table1[[#This Row],[Total Number of Elements (TX + RX)]],#N/A)</f>
        <v>#N/A</v>
      </c>
      <c r="AK122" s="1" t="e">
        <f t="shared" si="56"/>
        <v>#N/A</v>
      </c>
      <c r="AL122" s="1" t="e">
        <f t="shared" si="57"/>
        <v>#N/A</v>
      </c>
      <c r="AM122" s="1" t="e">
        <f t="shared" si="58"/>
        <v>#N/A</v>
      </c>
      <c r="AN122" s="1" t="e">
        <f t="shared" si="59"/>
        <v>#N/A</v>
      </c>
      <c r="AO122" s="1" t="e">
        <f t="shared" si="60"/>
        <v>#N/A</v>
      </c>
      <c r="AP122" s="1" t="e">
        <f t="shared" si="61"/>
        <v>#N/A</v>
      </c>
      <c r="AQ122" s="1" t="e">
        <f t="shared" si="62"/>
        <v>#N/A</v>
      </c>
      <c r="AS122" s="1" t="e">
        <f>IF(Table1[[#This Row],[Type (TX, RX, TRX, Oscillator)]]="Relay",Table1[[#This Row],[Frequency (GHz)]],#N/A)</f>
        <v>#N/A</v>
      </c>
      <c r="AT122" s="30" t="e">
        <f>IF(Table1[[#This Row],[Type (TX, RX, TRX, Oscillator)]]="Relay",DATE(Table1[[#This Row],[Year ]],Table1[[#This Row],[Month]],1),#N/A)</f>
        <v>#N/A</v>
      </c>
      <c r="AU122" s="1" t="e">
        <f>IF(Table1[[#This Row],[Type (TX, RX, TRX, Oscillator)]]="Relay",Table1[[#This Row],[Total Number of Elements (TX + RX)]],#N/A)</f>
        <v>#N/A</v>
      </c>
      <c r="AV122" s="1" t="e">
        <f t="shared" si="63"/>
        <v>#N/A</v>
      </c>
      <c r="AW122" s="1" t="e">
        <f t="shared" si="64"/>
        <v>#N/A</v>
      </c>
      <c r="AX122" s="1" t="e">
        <f t="shared" si="65"/>
        <v>#N/A</v>
      </c>
      <c r="AY122" s="1" t="e">
        <f t="shared" si="66"/>
        <v>#N/A</v>
      </c>
      <c r="AZ122" s="1" t="e">
        <f t="shared" si="67"/>
        <v>#N/A</v>
      </c>
      <c r="BA122" s="1" t="e">
        <f t="shared" si="68"/>
        <v>#N/A</v>
      </c>
      <c r="BB122" s="1" t="e">
        <f t="shared" si="69"/>
        <v>#N/A</v>
      </c>
    </row>
    <row r="123" spans="1:54" x14ac:dyDescent="0.2">
      <c r="A123" s="1" t="e">
        <f>IF(OR(Table1[[#This Row],[Type (TX, RX, TRX, Oscillator)]]="TX", Table1[[#This Row],[Type (TX, RX, TRX, Oscillator)]]="TX FE"),Table1[[#This Row],[Frequency (GHz)]],#N/A)</f>
        <v>#N/A</v>
      </c>
      <c r="B123" s="30" t="e">
        <f>IF(OR(Table1[[#This Row],[Type (TX, RX, TRX, Oscillator)]]="TX", Table1[[#This Row],[Type (TX, RX, TRX, Oscillator)]]="TX FE"),DATE(Table1[[#This Row],[Year ]],Table1[[#This Row],[Month]],1),#N/A)</f>
        <v>#N/A</v>
      </c>
      <c r="C123" s="1" t="e">
        <f>IF(OR(Table1[[#This Row],[Type (TX, RX, TRX, Oscillator)]]="TX",Table1[[#This Row],[Type (TX, RX, TRX, Oscillator)]]="TX FE"),Table1[[#This Row],[Total Number of Elements (TX + RX)]],#N/A)</f>
        <v>#N/A</v>
      </c>
      <c r="D123" s="1" t="e">
        <f t="shared" si="35"/>
        <v>#N/A</v>
      </c>
      <c r="E123" s="1" t="e">
        <f t="shared" si="36"/>
        <v>#N/A</v>
      </c>
      <c r="F123" s="1" t="e">
        <f t="shared" si="37"/>
        <v>#N/A</v>
      </c>
      <c r="G123" s="1" t="e">
        <f t="shared" si="38"/>
        <v>#N/A</v>
      </c>
      <c r="H123" s="1" t="e">
        <f t="shared" si="39"/>
        <v>#N/A</v>
      </c>
      <c r="I123" s="1" t="e">
        <f t="shared" si="40"/>
        <v>#N/A</v>
      </c>
      <c r="J123" s="1" t="e">
        <f t="shared" si="41"/>
        <v>#N/A</v>
      </c>
      <c r="L123" s="1">
        <f>IF(OR(Table1[[#This Row],[Type (TX, RX, TRX, Oscillator)]]="RX", Table1[[#This Row],[Type (TX, RX, TRX, Oscillator)]]="RX FE"),Table1[[#This Row],[Frequency (GHz)]],#N/A)</f>
        <v>40</v>
      </c>
      <c r="M123" s="30">
        <f>IF(OR(Table1[[#This Row],[Type (TX, RX, TRX, Oscillator)]]="RX", Table1[[#This Row],[Type (TX, RX, TRX, Oscillator)]]="RX FE"),DATE(Table1[[#This Row],[Year ]],Table1[[#This Row],[Month]],1),#N/A)</f>
        <v>44866</v>
      </c>
      <c r="N123" s="1">
        <f>IF(OR(Table1[[#This Row],[Type (TX, RX, TRX, Oscillator)]]="RX", Table1[[#This Row],[Type (TX, RX, TRX, Oscillator)]]="RX FE"),Table1[[#This Row],[Total Number of Elements (TX + RX)]],#N/A)</f>
        <v>4</v>
      </c>
      <c r="O123" s="1" t="e">
        <f t="shared" si="42"/>
        <v>#N/A</v>
      </c>
      <c r="P123" s="1">
        <f t="shared" si="43"/>
        <v>4</v>
      </c>
      <c r="Q123" s="1" t="e">
        <f t="shared" si="44"/>
        <v>#N/A</v>
      </c>
      <c r="R123" s="1" t="e">
        <f t="shared" si="45"/>
        <v>#N/A</v>
      </c>
      <c r="S123" s="1" t="e">
        <f t="shared" si="46"/>
        <v>#N/A</v>
      </c>
      <c r="T123" s="1" t="e">
        <f t="shared" si="47"/>
        <v>#N/A</v>
      </c>
      <c r="U123" s="1" t="e">
        <f t="shared" si="48"/>
        <v>#N/A</v>
      </c>
      <c r="W123" s="1" t="e">
        <f>IF(OR(Table1[[#This Row],[Type (TX, RX, TRX, Oscillator)]]="TRX",Table1[[#This Row],[Type (TX, RX, TRX, Oscillator)]]="TRX FE"),Table1[[#This Row],[Frequency (GHz)]],#N/A)</f>
        <v>#N/A</v>
      </c>
      <c r="X123" s="30" t="e">
        <f>IF(OR(Table1[[#This Row],[Type (TX, RX, TRX, Oscillator)]]="TRX", Table1[[#This Row],[Type (TX, RX, TRX, Oscillator)]]="TRX FE"),DATE(Table1[[#This Row],[Year ]],Table1[[#This Row],[Month]],1),#N/A)</f>
        <v>#N/A</v>
      </c>
      <c r="Y123" s="1" t="e">
        <f>IF(OR(Table1[[#This Row],[Type (TX, RX, TRX, Oscillator)]]="TRX", Table1[[#This Row],[Type (TX, RX, TRX, Oscillator)]]="TRX FE"),Table1[[#This Row],[Total Number of Elements (TX + RX)]],#N/A)</f>
        <v>#N/A</v>
      </c>
      <c r="Z123" s="1" t="e">
        <f t="shared" si="49"/>
        <v>#N/A</v>
      </c>
      <c r="AA123" s="1" t="e">
        <f t="shared" si="50"/>
        <v>#N/A</v>
      </c>
      <c r="AB123" s="1" t="e">
        <f t="shared" si="51"/>
        <v>#N/A</v>
      </c>
      <c r="AC123" s="1" t="e">
        <f t="shared" si="52"/>
        <v>#N/A</v>
      </c>
      <c r="AD123" s="1" t="e">
        <f t="shared" si="53"/>
        <v>#N/A</v>
      </c>
      <c r="AE123" s="1" t="e">
        <f t="shared" si="54"/>
        <v>#N/A</v>
      </c>
      <c r="AF123" s="1" t="e">
        <f t="shared" si="55"/>
        <v>#N/A</v>
      </c>
      <c r="AH123" s="1" t="e">
        <f>IF(Table1[[#This Row],[Type (TX, RX, TRX, Oscillator)]]="Oscillator",Table1[[#This Row],[Frequency (GHz)]],#N/A)</f>
        <v>#N/A</v>
      </c>
      <c r="AI123" s="30" t="e">
        <f>IF(Table1[[#This Row],[Type (TX, RX, TRX, Oscillator)]]="Oscillator",DATE(Table1[[#This Row],[Year ]],Table1[[#This Row],[Month]],1),#N/A)</f>
        <v>#N/A</v>
      </c>
      <c r="AJ123" s="1" t="e">
        <f>IF(Table1[[#This Row],[Type (TX, RX, TRX, Oscillator)]]="Oscillator",Table1[[#This Row],[Total Number of Elements (TX + RX)]],#N/A)</f>
        <v>#N/A</v>
      </c>
      <c r="AK123" s="1" t="e">
        <f t="shared" si="56"/>
        <v>#N/A</v>
      </c>
      <c r="AL123" s="1" t="e">
        <f t="shared" si="57"/>
        <v>#N/A</v>
      </c>
      <c r="AM123" s="1" t="e">
        <f t="shared" si="58"/>
        <v>#N/A</v>
      </c>
      <c r="AN123" s="1" t="e">
        <f t="shared" si="59"/>
        <v>#N/A</v>
      </c>
      <c r="AO123" s="1" t="e">
        <f t="shared" si="60"/>
        <v>#N/A</v>
      </c>
      <c r="AP123" s="1" t="e">
        <f t="shared" si="61"/>
        <v>#N/A</v>
      </c>
      <c r="AQ123" s="1" t="e">
        <f t="shared" si="62"/>
        <v>#N/A</v>
      </c>
      <c r="AS123" s="1" t="e">
        <f>IF(Table1[[#This Row],[Type (TX, RX, TRX, Oscillator)]]="Relay",Table1[[#This Row],[Frequency (GHz)]],#N/A)</f>
        <v>#N/A</v>
      </c>
      <c r="AT123" s="30" t="e">
        <f>IF(Table1[[#This Row],[Type (TX, RX, TRX, Oscillator)]]="Relay",DATE(Table1[[#This Row],[Year ]],Table1[[#This Row],[Month]],1),#N/A)</f>
        <v>#N/A</v>
      </c>
      <c r="AU123" s="1" t="e">
        <f>IF(Table1[[#This Row],[Type (TX, RX, TRX, Oscillator)]]="Relay",Table1[[#This Row],[Total Number of Elements (TX + RX)]],#N/A)</f>
        <v>#N/A</v>
      </c>
      <c r="AV123" s="1" t="e">
        <f t="shared" si="63"/>
        <v>#N/A</v>
      </c>
      <c r="AW123" s="1" t="e">
        <f t="shared" si="64"/>
        <v>#N/A</v>
      </c>
      <c r="AX123" s="1" t="e">
        <f t="shared" si="65"/>
        <v>#N/A</v>
      </c>
      <c r="AY123" s="1" t="e">
        <f t="shared" si="66"/>
        <v>#N/A</v>
      </c>
      <c r="AZ123" s="1" t="e">
        <f t="shared" si="67"/>
        <v>#N/A</v>
      </c>
      <c r="BA123" s="1" t="e">
        <f t="shared" si="68"/>
        <v>#N/A</v>
      </c>
      <c r="BB123" s="1" t="e">
        <f t="shared" si="69"/>
        <v>#N/A</v>
      </c>
    </row>
    <row r="124" spans="1:54" x14ac:dyDescent="0.2">
      <c r="A124" s="1" t="e">
        <f>IF(OR(Table1[[#This Row],[Type (TX, RX, TRX, Oscillator)]]="TX", Table1[[#This Row],[Type (TX, RX, TRX, Oscillator)]]="TX FE"),Table1[[#This Row],[Frequency (GHz)]],#N/A)</f>
        <v>#N/A</v>
      </c>
      <c r="B124" s="30" t="e">
        <f>IF(OR(Table1[[#This Row],[Type (TX, RX, TRX, Oscillator)]]="TX", Table1[[#This Row],[Type (TX, RX, TRX, Oscillator)]]="TX FE"),DATE(Table1[[#This Row],[Year ]],Table1[[#This Row],[Month]],1),#N/A)</f>
        <v>#N/A</v>
      </c>
      <c r="C124" s="1" t="e">
        <f>IF(OR(Table1[[#This Row],[Type (TX, RX, TRX, Oscillator)]]="TX",Table1[[#This Row],[Type (TX, RX, TRX, Oscillator)]]="TX FE"),Table1[[#This Row],[Total Number of Elements (TX + RX)]],#N/A)</f>
        <v>#N/A</v>
      </c>
      <c r="D124" s="1" t="e">
        <f t="shared" si="35"/>
        <v>#N/A</v>
      </c>
      <c r="E124" s="1" t="e">
        <f t="shared" si="36"/>
        <v>#N/A</v>
      </c>
      <c r="F124" s="1" t="e">
        <f t="shared" si="37"/>
        <v>#N/A</v>
      </c>
      <c r="G124" s="1" t="e">
        <f t="shared" si="38"/>
        <v>#N/A</v>
      </c>
      <c r="H124" s="1" t="e">
        <f t="shared" si="39"/>
        <v>#N/A</v>
      </c>
      <c r="I124" s="1" t="e">
        <f t="shared" si="40"/>
        <v>#N/A</v>
      </c>
      <c r="J124" s="1" t="e">
        <f t="shared" si="41"/>
        <v>#N/A</v>
      </c>
      <c r="L124" s="1" t="e">
        <f>IF(OR(Table1[[#This Row],[Type (TX, RX, TRX, Oscillator)]]="RX", Table1[[#This Row],[Type (TX, RX, TRX, Oscillator)]]="RX FE"),Table1[[#This Row],[Frequency (GHz)]],#N/A)</f>
        <v>#N/A</v>
      </c>
      <c r="M124" s="30" t="e">
        <f>IF(OR(Table1[[#This Row],[Type (TX, RX, TRX, Oscillator)]]="RX", Table1[[#This Row],[Type (TX, RX, TRX, Oscillator)]]="RX FE"),DATE(Table1[[#This Row],[Year ]],Table1[[#This Row],[Month]],1),#N/A)</f>
        <v>#N/A</v>
      </c>
      <c r="N124" s="1" t="e">
        <f>IF(OR(Table1[[#This Row],[Type (TX, RX, TRX, Oscillator)]]="RX", Table1[[#This Row],[Type (TX, RX, TRX, Oscillator)]]="RX FE"),Table1[[#This Row],[Total Number of Elements (TX + RX)]],#N/A)</f>
        <v>#N/A</v>
      </c>
      <c r="O124" s="1" t="e">
        <f t="shared" si="42"/>
        <v>#N/A</v>
      </c>
      <c r="P124" s="1" t="e">
        <f t="shared" si="43"/>
        <v>#N/A</v>
      </c>
      <c r="Q124" s="1" t="e">
        <f t="shared" si="44"/>
        <v>#N/A</v>
      </c>
      <c r="R124" s="1" t="e">
        <f t="shared" si="45"/>
        <v>#N/A</v>
      </c>
      <c r="S124" s="1" t="e">
        <f t="shared" si="46"/>
        <v>#N/A</v>
      </c>
      <c r="T124" s="1" t="e">
        <f t="shared" si="47"/>
        <v>#N/A</v>
      </c>
      <c r="U124" s="1" t="e">
        <f t="shared" si="48"/>
        <v>#N/A</v>
      </c>
      <c r="W124" s="1">
        <f>IF(OR(Table1[[#This Row],[Type (TX, RX, TRX, Oscillator)]]="TRX",Table1[[#This Row],[Type (TX, RX, TRX, Oscillator)]]="TRX FE"),Table1[[#This Row],[Frequency (GHz)]],#N/A)</f>
        <v>28</v>
      </c>
      <c r="X124" s="30">
        <f>IF(OR(Table1[[#This Row],[Type (TX, RX, TRX, Oscillator)]]="TRX", Table1[[#This Row],[Type (TX, RX, TRX, Oscillator)]]="TRX FE"),DATE(Table1[[#This Row],[Year ]],Table1[[#This Row],[Month]],1),#N/A)</f>
        <v>44866</v>
      </c>
      <c r="Y124" s="1">
        <f>IF(OR(Table1[[#This Row],[Type (TX, RX, TRX, Oscillator)]]="TRX", Table1[[#This Row],[Type (TX, RX, TRX, Oscillator)]]="TRX FE"),Table1[[#This Row],[Total Number of Elements (TX + RX)]],#N/A)</f>
        <v>128</v>
      </c>
      <c r="Z124" s="1" t="e">
        <f t="shared" si="49"/>
        <v>#N/A</v>
      </c>
      <c r="AA124" s="1">
        <f t="shared" si="50"/>
        <v>128</v>
      </c>
      <c r="AB124" s="1" t="e">
        <f t="shared" si="51"/>
        <v>#N/A</v>
      </c>
      <c r="AC124" s="1" t="e">
        <f t="shared" si="52"/>
        <v>#N/A</v>
      </c>
      <c r="AD124" s="1" t="e">
        <f t="shared" si="53"/>
        <v>#N/A</v>
      </c>
      <c r="AE124" s="1" t="e">
        <f t="shared" si="54"/>
        <v>#N/A</v>
      </c>
      <c r="AF124" s="1" t="e">
        <f t="shared" si="55"/>
        <v>#N/A</v>
      </c>
      <c r="AH124" s="1" t="e">
        <f>IF(Table1[[#This Row],[Type (TX, RX, TRX, Oscillator)]]="Oscillator",Table1[[#This Row],[Frequency (GHz)]],#N/A)</f>
        <v>#N/A</v>
      </c>
      <c r="AI124" s="30" t="e">
        <f>IF(Table1[[#This Row],[Type (TX, RX, TRX, Oscillator)]]="Oscillator",DATE(Table1[[#This Row],[Year ]],Table1[[#This Row],[Month]],1),#N/A)</f>
        <v>#N/A</v>
      </c>
      <c r="AJ124" s="1" t="e">
        <f>IF(Table1[[#This Row],[Type (TX, RX, TRX, Oscillator)]]="Oscillator",Table1[[#This Row],[Total Number of Elements (TX + RX)]],#N/A)</f>
        <v>#N/A</v>
      </c>
      <c r="AK124" s="1" t="e">
        <f t="shared" si="56"/>
        <v>#N/A</v>
      </c>
      <c r="AL124" s="1" t="e">
        <f t="shared" si="57"/>
        <v>#N/A</v>
      </c>
      <c r="AM124" s="1" t="e">
        <f t="shared" si="58"/>
        <v>#N/A</v>
      </c>
      <c r="AN124" s="1" t="e">
        <f t="shared" si="59"/>
        <v>#N/A</v>
      </c>
      <c r="AO124" s="1" t="e">
        <f t="shared" si="60"/>
        <v>#N/A</v>
      </c>
      <c r="AP124" s="1" t="e">
        <f t="shared" si="61"/>
        <v>#N/A</v>
      </c>
      <c r="AQ124" s="1" t="e">
        <f t="shared" si="62"/>
        <v>#N/A</v>
      </c>
      <c r="AS124" s="1" t="e">
        <f>IF(Table1[[#This Row],[Type (TX, RX, TRX, Oscillator)]]="Relay",Table1[[#This Row],[Frequency (GHz)]],#N/A)</f>
        <v>#N/A</v>
      </c>
      <c r="AT124" s="30" t="e">
        <f>IF(Table1[[#This Row],[Type (TX, RX, TRX, Oscillator)]]="Relay",DATE(Table1[[#This Row],[Year ]],Table1[[#This Row],[Month]],1),#N/A)</f>
        <v>#N/A</v>
      </c>
      <c r="AU124" s="1" t="e">
        <f>IF(Table1[[#This Row],[Type (TX, RX, TRX, Oscillator)]]="Relay",Table1[[#This Row],[Total Number of Elements (TX + RX)]],#N/A)</f>
        <v>#N/A</v>
      </c>
      <c r="AV124" s="1" t="e">
        <f t="shared" si="63"/>
        <v>#N/A</v>
      </c>
      <c r="AW124" s="1" t="e">
        <f t="shared" si="64"/>
        <v>#N/A</v>
      </c>
      <c r="AX124" s="1" t="e">
        <f t="shared" si="65"/>
        <v>#N/A</v>
      </c>
      <c r="AY124" s="1" t="e">
        <f t="shared" si="66"/>
        <v>#N/A</v>
      </c>
      <c r="AZ124" s="1" t="e">
        <f t="shared" si="67"/>
        <v>#N/A</v>
      </c>
      <c r="BA124" s="1" t="e">
        <f t="shared" si="68"/>
        <v>#N/A</v>
      </c>
      <c r="BB124" s="1" t="e">
        <f t="shared" si="69"/>
        <v>#N/A</v>
      </c>
    </row>
    <row r="125" spans="1:54" x14ac:dyDescent="0.2">
      <c r="A125" s="1" t="e">
        <f>IF(OR(Table1[[#This Row],[Type (TX, RX, TRX, Oscillator)]]="TX", Table1[[#This Row],[Type (TX, RX, TRX, Oscillator)]]="TX FE"),Table1[[#This Row],[Frequency (GHz)]],#N/A)</f>
        <v>#N/A</v>
      </c>
      <c r="B125" s="30" t="e">
        <f>IF(OR(Table1[[#This Row],[Type (TX, RX, TRX, Oscillator)]]="TX", Table1[[#This Row],[Type (TX, RX, TRX, Oscillator)]]="TX FE"),DATE(Table1[[#This Row],[Year ]],Table1[[#This Row],[Month]],1),#N/A)</f>
        <v>#N/A</v>
      </c>
      <c r="C125" s="1" t="e">
        <f>IF(OR(Table1[[#This Row],[Type (TX, RX, TRX, Oscillator)]]="TX",Table1[[#This Row],[Type (TX, RX, TRX, Oscillator)]]="TX FE"),Table1[[#This Row],[Total Number of Elements (TX + RX)]],#N/A)</f>
        <v>#N/A</v>
      </c>
      <c r="D125" s="1" t="e">
        <f t="shared" si="35"/>
        <v>#N/A</v>
      </c>
      <c r="E125" s="1" t="e">
        <f t="shared" si="36"/>
        <v>#N/A</v>
      </c>
      <c r="F125" s="1" t="e">
        <f t="shared" si="37"/>
        <v>#N/A</v>
      </c>
      <c r="G125" s="1" t="e">
        <f t="shared" si="38"/>
        <v>#N/A</v>
      </c>
      <c r="H125" s="1" t="e">
        <f t="shared" si="39"/>
        <v>#N/A</v>
      </c>
      <c r="I125" s="1" t="e">
        <f t="shared" si="40"/>
        <v>#N/A</v>
      </c>
      <c r="J125" s="1" t="e">
        <f t="shared" si="41"/>
        <v>#N/A</v>
      </c>
      <c r="L125" s="1">
        <f>IF(OR(Table1[[#This Row],[Type (TX, RX, TRX, Oscillator)]]="RX", Table1[[#This Row],[Type (TX, RX, TRX, Oscillator)]]="RX FE"),Table1[[#This Row],[Frequency (GHz)]],#N/A)</f>
        <v>20</v>
      </c>
      <c r="M125" s="30">
        <f>IF(OR(Table1[[#This Row],[Type (TX, RX, TRX, Oscillator)]]="RX", Table1[[#This Row],[Type (TX, RX, TRX, Oscillator)]]="RX FE"),DATE(Table1[[#This Row],[Year ]],Table1[[#This Row],[Month]],1),#N/A)</f>
        <v>44896</v>
      </c>
      <c r="N125" s="1">
        <f>IF(OR(Table1[[#This Row],[Type (TX, RX, TRX, Oscillator)]]="RX", Table1[[#This Row],[Type (TX, RX, TRX, Oscillator)]]="RX FE"),Table1[[#This Row],[Total Number of Elements (TX + RX)]],#N/A)</f>
        <v>1024</v>
      </c>
      <c r="O125" s="1" t="e">
        <f t="shared" si="42"/>
        <v>#N/A</v>
      </c>
      <c r="P125" s="1">
        <f t="shared" si="43"/>
        <v>1024</v>
      </c>
      <c r="Q125" s="1" t="e">
        <f t="shared" si="44"/>
        <v>#N/A</v>
      </c>
      <c r="R125" s="1" t="e">
        <f t="shared" si="45"/>
        <v>#N/A</v>
      </c>
      <c r="S125" s="1" t="e">
        <f t="shared" si="46"/>
        <v>#N/A</v>
      </c>
      <c r="T125" s="1" t="e">
        <f t="shared" si="47"/>
        <v>#N/A</v>
      </c>
      <c r="U125" s="1" t="e">
        <f t="shared" si="48"/>
        <v>#N/A</v>
      </c>
      <c r="W125" s="1" t="e">
        <f>IF(OR(Table1[[#This Row],[Type (TX, RX, TRX, Oscillator)]]="TRX",Table1[[#This Row],[Type (TX, RX, TRX, Oscillator)]]="TRX FE"),Table1[[#This Row],[Frequency (GHz)]],#N/A)</f>
        <v>#N/A</v>
      </c>
      <c r="X125" s="30" t="e">
        <f>IF(OR(Table1[[#This Row],[Type (TX, RX, TRX, Oscillator)]]="TRX", Table1[[#This Row],[Type (TX, RX, TRX, Oscillator)]]="TRX FE"),DATE(Table1[[#This Row],[Year ]],Table1[[#This Row],[Month]],1),#N/A)</f>
        <v>#N/A</v>
      </c>
      <c r="Y125" s="1" t="e">
        <f>IF(OR(Table1[[#This Row],[Type (TX, RX, TRX, Oscillator)]]="TRX", Table1[[#This Row],[Type (TX, RX, TRX, Oscillator)]]="TRX FE"),Table1[[#This Row],[Total Number of Elements (TX + RX)]],#N/A)</f>
        <v>#N/A</v>
      </c>
      <c r="Z125" s="1" t="e">
        <f t="shared" si="49"/>
        <v>#N/A</v>
      </c>
      <c r="AA125" s="1" t="e">
        <f t="shared" si="50"/>
        <v>#N/A</v>
      </c>
      <c r="AB125" s="1" t="e">
        <f t="shared" si="51"/>
        <v>#N/A</v>
      </c>
      <c r="AC125" s="1" t="e">
        <f t="shared" si="52"/>
        <v>#N/A</v>
      </c>
      <c r="AD125" s="1" t="e">
        <f t="shared" si="53"/>
        <v>#N/A</v>
      </c>
      <c r="AE125" s="1" t="e">
        <f t="shared" si="54"/>
        <v>#N/A</v>
      </c>
      <c r="AF125" s="1" t="e">
        <f t="shared" si="55"/>
        <v>#N/A</v>
      </c>
      <c r="AH125" s="1" t="e">
        <f>IF(Table1[[#This Row],[Type (TX, RX, TRX, Oscillator)]]="Oscillator",Table1[[#This Row],[Frequency (GHz)]],#N/A)</f>
        <v>#N/A</v>
      </c>
      <c r="AI125" s="30" t="e">
        <f>IF(Table1[[#This Row],[Type (TX, RX, TRX, Oscillator)]]="Oscillator",DATE(Table1[[#This Row],[Year ]],Table1[[#This Row],[Month]],1),#N/A)</f>
        <v>#N/A</v>
      </c>
      <c r="AJ125" s="1" t="e">
        <f>IF(Table1[[#This Row],[Type (TX, RX, TRX, Oscillator)]]="Oscillator",Table1[[#This Row],[Total Number of Elements (TX + RX)]],#N/A)</f>
        <v>#N/A</v>
      </c>
      <c r="AK125" s="1" t="e">
        <f t="shared" si="56"/>
        <v>#N/A</v>
      </c>
      <c r="AL125" s="1" t="e">
        <f t="shared" si="57"/>
        <v>#N/A</v>
      </c>
      <c r="AM125" s="1" t="e">
        <f t="shared" si="58"/>
        <v>#N/A</v>
      </c>
      <c r="AN125" s="1" t="e">
        <f t="shared" si="59"/>
        <v>#N/A</v>
      </c>
      <c r="AO125" s="1" t="e">
        <f t="shared" si="60"/>
        <v>#N/A</v>
      </c>
      <c r="AP125" s="1" t="e">
        <f t="shared" si="61"/>
        <v>#N/A</v>
      </c>
      <c r="AQ125" s="1" t="e">
        <f t="shared" si="62"/>
        <v>#N/A</v>
      </c>
      <c r="AS125" s="1" t="e">
        <f>IF(Table1[[#This Row],[Type (TX, RX, TRX, Oscillator)]]="Relay",Table1[[#This Row],[Frequency (GHz)]],#N/A)</f>
        <v>#N/A</v>
      </c>
      <c r="AT125" s="30" t="e">
        <f>IF(Table1[[#This Row],[Type (TX, RX, TRX, Oscillator)]]="Relay",DATE(Table1[[#This Row],[Year ]],Table1[[#This Row],[Month]],1),#N/A)</f>
        <v>#N/A</v>
      </c>
      <c r="AU125" s="1" t="e">
        <f>IF(Table1[[#This Row],[Type (TX, RX, TRX, Oscillator)]]="Relay",Table1[[#This Row],[Total Number of Elements (TX + RX)]],#N/A)</f>
        <v>#N/A</v>
      </c>
      <c r="AV125" s="1" t="e">
        <f t="shared" si="63"/>
        <v>#N/A</v>
      </c>
      <c r="AW125" s="1" t="e">
        <f t="shared" si="64"/>
        <v>#N/A</v>
      </c>
      <c r="AX125" s="1" t="e">
        <f t="shared" si="65"/>
        <v>#N/A</v>
      </c>
      <c r="AY125" s="1" t="e">
        <f t="shared" si="66"/>
        <v>#N/A</v>
      </c>
      <c r="AZ125" s="1" t="e">
        <f t="shared" si="67"/>
        <v>#N/A</v>
      </c>
      <c r="BA125" s="1" t="e">
        <f t="shared" si="68"/>
        <v>#N/A</v>
      </c>
      <c r="BB125" s="1" t="e">
        <f t="shared" si="69"/>
        <v>#N/A</v>
      </c>
    </row>
    <row r="126" spans="1:54" x14ac:dyDescent="0.2">
      <c r="A126" s="1">
        <f>IF(OR(Table1[[#This Row],[Type (TX, RX, TRX, Oscillator)]]="TX", Table1[[#This Row],[Type (TX, RX, TRX, Oscillator)]]="TX FE"),Table1[[#This Row],[Frequency (GHz)]],#N/A)</f>
        <v>5</v>
      </c>
      <c r="B126" s="30">
        <f>IF(OR(Table1[[#This Row],[Type (TX, RX, TRX, Oscillator)]]="TX", Table1[[#This Row],[Type (TX, RX, TRX, Oscillator)]]="TX FE"),DATE(Table1[[#This Row],[Year ]],Table1[[#This Row],[Month]],1),#N/A)</f>
        <v>44896</v>
      </c>
      <c r="C126" s="1">
        <f>IF(OR(Table1[[#This Row],[Type (TX, RX, TRX, Oscillator)]]="TX",Table1[[#This Row],[Type (TX, RX, TRX, Oscillator)]]="TX FE"),Table1[[#This Row],[Total Number of Elements (TX + RX)]],#N/A)</f>
        <v>16</v>
      </c>
      <c r="D126" s="1">
        <f t="shared" si="35"/>
        <v>16</v>
      </c>
      <c r="E126" s="1" t="e">
        <f t="shared" si="36"/>
        <v>#N/A</v>
      </c>
      <c r="F126" s="1" t="e">
        <f t="shared" si="37"/>
        <v>#N/A</v>
      </c>
      <c r="G126" s="1" t="e">
        <f t="shared" si="38"/>
        <v>#N/A</v>
      </c>
      <c r="H126" s="1" t="e">
        <f t="shared" si="39"/>
        <v>#N/A</v>
      </c>
      <c r="I126" s="1" t="e">
        <f t="shared" si="40"/>
        <v>#N/A</v>
      </c>
      <c r="J126" s="1" t="e">
        <f t="shared" si="41"/>
        <v>#N/A</v>
      </c>
      <c r="L126" s="1" t="e">
        <f>IF(OR(Table1[[#This Row],[Type (TX, RX, TRX, Oscillator)]]="RX", Table1[[#This Row],[Type (TX, RX, TRX, Oscillator)]]="RX FE"),Table1[[#This Row],[Frequency (GHz)]],#N/A)</f>
        <v>#N/A</v>
      </c>
      <c r="M126" s="30" t="e">
        <f>IF(OR(Table1[[#This Row],[Type (TX, RX, TRX, Oscillator)]]="RX", Table1[[#This Row],[Type (TX, RX, TRX, Oscillator)]]="RX FE"),DATE(Table1[[#This Row],[Year ]],Table1[[#This Row],[Month]],1),#N/A)</f>
        <v>#N/A</v>
      </c>
      <c r="N126" s="1" t="e">
        <f>IF(OR(Table1[[#This Row],[Type (TX, RX, TRX, Oscillator)]]="RX", Table1[[#This Row],[Type (TX, RX, TRX, Oscillator)]]="RX FE"),Table1[[#This Row],[Total Number of Elements (TX + RX)]],#N/A)</f>
        <v>#N/A</v>
      </c>
      <c r="O126" s="1" t="e">
        <f t="shared" si="42"/>
        <v>#N/A</v>
      </c>
      <c r="P126" s="1" t="e">
        <f t="shared" si="43"/>
        <v>#N/A</v>
      </c>
      <c r="Q126" s="1" t="e">
        <f t="shared" si="44"/>
        <v>#N/A</v>
      </c>
      <c r="R126" s="1" t="e">
        <f t="shared" si="45"/>
        <v>#N/A</v>
      </c>
      <c r="S126" s="1" t="e">
        <f t="shared" si="46"/>
        <v>#N/A</v>
      </c>
      <c r="T126" s="1" t="e">
        <f t="shared" si="47"/>
        <v>#N/A</v>
      </c>
      <c r="U126" s="1" t="e">
        <f t="shared" si="48"/>
        <v>#N/A</v>
      </c>
      <c r="W126" s="1" t="e">
        <f>IF(OR(Table1[[#This Row],[Type (TX, RX, TRX, Oscillator)]]="TRX",Table1[[#This Row],[Type (TX, RX, TRX, Oscillator)]]="TRX FE"),Table1[[#This Row],[Frequency (GHz)]],#N/A)</f>
        <v>#N/A</v>
      </c>
      <c r="X126" s="30" t="e">
        <f>IF(OR(Table1[[#This Row],[Type (TX, RX, TRX, Oscillator)]]="TRX", Table1[[#This Row],[Type (TX, RX, TRX, Oscillator)]]="TRX FE"),DATE(Table1[[#This Row],[Year ]],Table1[[#This Row],[Month]],1),#N/A)</f>
        <v>#N/A</v>
      </c>
      <c r="Y126" s="1" t="e">
        <f>IF(OR(Table1[[#This Row],[Type (TX, RX, TRX, Oscillator)]]="TRX", Table1[[#This Row],[Type (TX, RX, TRX, Oscillator)]]="TRX FE"),Table1[[#This Row],[Total Number of Elements (TX + RX)]],#N/A)</f>
        <v>#N/A</v>
      </c>
      <c r="Z126" s="1" t="e">
        <f t="shared" si="49"/>
        <v>#N/A</v>
      </c>
      <c r="AA126" s="1" t="e">
        <f t="shared" si="50"/>
        <v>#N/A</v>
      </c>
      <c r="AB126" s="1" t="e">
        <f t="shared" si="51"/>
        <v>#N/A</v>
      </c>
      <c r="AC126" s="1" t="e">
        <f t="shared" si="52"/>
        <v>#N/A</v>
      </c>
      <c r="AD126" s="1" t="e">
        <f t="shared" si="53"/>
        <v>#N/A</v>
      </c>
      <c r="AE126" s="1" t="e">
        <f t="shared" si="54"/>
        <v>#N/A</v>
      </c>
      <c r="AF126" s="1" t="e">
        <f t="shared" si="55"/>
        <v>#N/A</v>
      </c>
      <c r="AH126" s="1" t="e">
        <f>IF(Table1[[#This Row],[Type (TX, RX, TRX, Oscillator)]]="Oscillator",Table1[[#This Row],[Frequency (GHz)]],#N/A)</f>
        <v>#N/A</v>
      </c>
      <c r="AI126" s="30" t="e">
        <f>IF(Table1[[#This Row],[Type (TX, RX, TRX, Oscillator)]]="Oscillator",DATE(Table1[[#This Row],[Year ]],Table1[[#This Row],[Month]],1),#N/A)</f>
        <v>#N/A</v>
      </c>
      <c r="AJ126" s="1" t="e">
        <f>IF(Table1[[#This Row],[Type (TX, RX, TRX, Oscillator)]]="Oscillator",Table1[[#This Row],[Total Number of Elements (TX + RX)]],#N/A)</f>
        <v>#N/A</v>
      </c>
      <c r="AK126" s="1" t="e">
        <f t="shared" si="56"/>
        <v>#N/A</v>
      </c>
      <c r="AL126" s="1" t="e">
        <f t="shared" si="57"/>
        <v>#N/A</v>
      </c>
      <c r="AM126" s="1" t="e">
        <f t="shared" si="58"/>
        <v>#N/A</v>
      </c>
      <c r="AN126" s="1" t="e">
        <f t="shared" si="59"/>
        <v>#N/A</v>
      </c>
      <c r="AO126" s="1" t="e">
        <f t="shared" si="60"/>
        <v>#N/A</v>
      </c>
      <c r="AP126" s="1" t="e">
        <f t="shared" si="61"/>
        <v>#N/A</v>
      </c>
      <c r="AQ126" s="1" t="e">
        <f t="shared" si="62"/>
        <v>#N/A</v>
      </c>
      <c r="AS126" s="1" t="e">
        <f>IF(Table1[[#This Row],[Type (TX, RX, TRX, Oscillator)]]="Relay",Table1[[#This Row],[Frequency (GHz)]],#N/A)</f>
        <v>#N/A</v>
      </c>
      <c r="AT126" s="30" t="e">
        <f>IF(Table1[[#This Row],[Type (TX, RX, TRX, Oscillator)]]="Relay",DATE(Table1[[#This Row],[Year ]],Table1[[#This Row],[Month]],1),#N/A)</f>
        <v>#N/A</v>
      </c>
      <c r="AU126" s="1" t="e">
        <f>IF(Table1[[#This Row],[Type (TX, RX, TRX, Oscillator)]]="Relay",Table1[[#This Row],[Total Number of Elements (TX + RX)]],#N/A)</f>
        <v>#N/A</v>
      </c>
      <c r="AV126" s="1" t="e">
        <f t="shared" si="63"/>
        <v>#N/A</v>
      </c>
      <c r="AW126" s="1" t="e">
        <f t="shared" si="64"/>
        <v>#N/A</v>
      </c>
      <c r="AX126" s="1" t="e">
        <f t="shared" si="65"/>
        <v>#N/A</v>
      </c>
      <c r="AY126" s="1" t="e">
        <f t="shared" si="66"/>
        <v>#N/A</v>
      </c>
      <c r="AZ126" s="1" t="e">
        <f t="shared" si="67"/>
        <v>#N/A</v>
      </c>
      <c r="BA126" s="1" t="e">
        <f t="shared" si="68"/>
        <v>#N/A</v>
      </c>
      <c r="BB126" s="1" t="e">
        <f t="shared" si="69"/>
        <v>#N/A</v>
      </c>
    </row>
    <row r="127" spans="1:54" x14ac:dyDescent="0.2">
      <c r="A127" s="1">
        <f>IF(OR(Table1[[#This Row],[Type (TX, RX, TRX, Oscillator)]]="TX", Table1[[#This Row],[Type (TX, RX, TRX, Oscillator)]]="TX FE"),Table1[[#This Row],[Frequency (GHz)]],#N/A)</f>
        <v>33</v>
      </c>
      <c r="B127" s="30">
        <f>IF(OR(Table1[[#This Row],[Type (TX, RX, TRX, Oscillator)]]="TX", Table1[[#This Row],[Type (TX, RX, TRX, Oscillator)]]="TX FE"),DATE(Table1[[#This Row],[Year ]],Table1[[#This Row],[Month]],1),#N/A)</f>
        <v>44896</v>
      </c>
      <c r="C127" s="1">
        <f>IF(OR(Table1[[#This Row],[Type (TX, RX, TRX, Oscillator)]]="TX",Table1[[#This Row],[Type (TX, RX, TRX, Oscillator)]]="TX FE"),Table1[[#This Row],[Total Number of Elements (TX + RX)]],#N/A)</f>
        <v>16</v>
      </c>
      <c r="D127" s="1" t="e">
        <f t="shared" si="35"/>
        <v>#N/A</v>
      </c>
      <c r="E127" s="1">
        <f t="shared" si="36"/>
        <v>16</v>
      </c>
      <c r="F127" s="1" t="e">
        <f t="shared" si="37"/>
        <v>#N/A</v>
      </c>
      <c r="G127" s="1" t="e">
        <f t="shared" si="38"/>
        <v>#N/A</v>
      </c>
      <c r="H127" s="1" t="e">
        <f t="shared" si="39"/>
        <v>#N/A</v>
      </c>
      <c r="I127" s="1" t="e">
        <f t="shared" si="40"/>
        <v>#N/A</v>
      </c>
      <c r="J127" s="1" t="e">
        <f t="shared" si="41"/>
        <v>#N/A</v>
      </c>
      <c r="L127" s="1" t="e">
        <f>IF(OR(Table1[[#This Row],[Type (TX, RX, TRX, Oscillator)]]="RX", Table1[[#This Row],[Type (TX, RX, TRX, Oscillator)]]="RX FE"),Table1[[#This Row],[Frequency (GHz)]],#N/A)</f>
        <v>#N/A</v>
      </c>
      <c r="M127" s="30" t="e">
        <f>IF(OR(Table1[[#This Row],[Type (TX, RX, TRX, Oscillator)]]="RX", Table1[[#This Row],[Type (TX, RX, TRX, Oscillator)]]="RX FE"),DATE(Table1[[#This Row],[Year ]],Table1[[#This Row],[Month]],1),#N/A)</f>
        <v>#N/A</v>
      </c>
      <c r="N127" s="1" t="e">
        <f>IF(OR(Table1[[#This Row],[Type (TX, RX, TRX, Oscillator)]]="RX", Table1[[#This Row],[Type (TX, RX, TRX, Oscillator)]]="RX FE"),Table1[[#This Row],[Total Number of Elements (TX + RX)]],#N/A)</f>
        <v>#N/A</v>
      </c>
      <c r="O127" s="1" t="e">
        <f t="shared" si="42"/>
        <v>#N/A</v>
      </c>
      <c r="P127" s="1" t="e">
        <f t="shared" si="43"/>
        <v>#N/A</v>
      </c>
      <c r="Q127" s="1" t="e">
        <f t="shared" si="44"/>
        <v>#N/A</v>
      </c>
      <c r="R127" s="1" t="e">
        <f t="shared" si="45"/>
        <v>#N/A</v>
      </c>
      <c r="S127" s="1" t="e">
        <f t="shared" si="46"/>
        <v>#N/A</v>
      </c>
      <c r="T127" s="1" t="e">
        <f t="shared" si="47"/>
        <v>#N/A</v>
      </c>
      <c r="U127" s="1" t="e">
        <f t="shared" si="48"/>
        <v>#N/A</v>
      </c>
      <c r="W127" s="1" t="e">
        <f>IF(OR(Table1[[#This Row],[Type (TX, RX, TRX, Oscillator)]]="TRX",Table1[[#This Row],[Type (TX, RX, TRX, Oscillator)]]="TRX FE"),Table1[[#This Row],[Frequency (GHz)]],#N/A)</f>
        <v>#N/A</v>
      </c>
      <c r="X127" s="30" t="e">
        <f>IF(OR(Table1[[#This Row],[Type (TX, RX, TRX, Oscillator)]]="TRX", Table1[[#This Row],[Type (TX, RX, TRX, Oscillator)]]="TRX FE"),DATE(Table1[[#This Row],[Year ]],Table1[[#This Row],[Month]],1),#N/A)</f>
        <v>#N/A</v>
      </c>
      <c r="Y127" s="1" t="e">
        <f>IF(OR(Table1[[#This Row],[Type (TX, RX, TRX, Oscillator)]]="TRX", Table1[[#This Row],[Type (TX, RX, TRX, Oscillator)]]="TRX FE"),Table1[[#This Row],[Total Number of Elements (TX + RX)]],#N/A)</f>
        <v>#N/A</v>
      </c>
      <c r="Z127" s="1" t="e">
        <f t="shared" si="49"/>
        <v>#N/A</v>
      </c>
      <c r="AA127" s="1" t="e">
        <f t="shared" si="50"/>
        <v>#N/A</v>
      </c>
      <c r="AB127" s="1" t="e">
        <f t="shared" si="51"/>
        <v>#N/A</v>
      </c>
      <c r="AC127" s="1" t="e">
        <f t="shared" si="52"/>
        <v>#N/A</v>
      </c>
      <c r="AD127" s="1" t="e">
        <f t="shared" si="53"/>
        <v>#N/A</v>
      </c>
      <c r="AE127" s="1" t="e">
        <f t="shared" si="54"/>
        <v>#N/A</v>
      </c>
      <c r="AF127" s="1" t="e">
        <f t="shared" si="55"/>
        <v>#N/A</v>
      </c>
      <c r="AH127" s="1" t="e">
        <f>IF(Table1[[#This Row],[Type (TX, RX, TRX, Oscillator)]]="Oscillator",Table1[[#This Row],[Frequency (GHz)]],#N/A)</f>
        <v>#N/A</v>
      </c>
      <c r="AI127" s="30" t="e">
        <f>IF(Table1[[#This Row],[Type (TX, RX, TRX, Oscillator)]]="Oscillator",DATE(Table1[[#This Row],[Year ]],Table1[[#This Row],[Month]],1),#N/A)</f>
        <v>#N/A</v>
      </c>
      <c r="AJ127" s="1" t="e">
        <f>IF(Table1[[#This Row],[Type (TX, RX, TRX, Oscillator)]]="Oscillator",Table1[[#This Row],[Total Number of Elements (TX + RX)]],#N/A)</f>
        <v>#N/A</v>
      </c>
      <c r="AK127" s="1" t="e">
        <f t="shared" si="56"/>
        <v>#N/A</v>
      </c>
      <c r="AL127" s="1" t="e">
        <f t="shared" si="57"/>
        <v>#N/A</v>
      </c>
      <c r="AM127" s="1" t="e">
        <f t="shared" si="58"/>
        <v>#N/A</v>
      </c>
      <c r="AN127" s="1" t="e">
        <f t="shared" si="59"/>
        <v>#N/A</v>
      </c>
      <c r="AO127" s="1" t="e">
        <f t="shared" si="60"/>
        <v>#N/A</v>
      </c>
      <c r="AP127" s="1" t="e">
        <f t="shared" si="61"/>
        <v>#N/A</v>
      </c>
      <c r="AQ127" s="1" t="e">
        <f t="shared" si="62"/>
        <v>#N/A</v>
      </c>
      <c r="AS127" s="1" t="e">
        <f>IF(Table1[[#This Row],[Type (TX, RX, TRX, Oscillator)]]="Relay",Table1[[#This Row],[Frequency (GHz)]],#N/A)</f>
        <v>#N/A</v>
      </c>
      <c r="AT127" s="30" t="e">
        <f>IF(Table1[[#This Row],[Type (TX, RX, TRX, Oscillator)]]="Relay",DATE(Table1[[#This Row],[Year ]],Table1[[#This Row],[Month]],1),#N/A)</f>
        <v>#N/A</v>
      </c>
      <c r="AU127" s="1" t="e">
        <f>IF(Table1[[#This Row],[Type (TX, RX, TRX, Oscillator)]]="Relay",Table1[[#This Row],[Total Number of Elements (TX + RX)]],#N/A)</f>
        <v>#N/A</v>
      </c>
      <c r="AV127" s="1" t="e">
        <f t="shared" si="63"/>
        <v>#N/A</v>
      </c>
      <c r="AW127" s="1" t="e">
        <f t="shared" si="64"/>
        <v>#N/A</v>
      </c>
      <c r="AX127" s="1" t="e">
        <f t="shared" si="65"/>
        <v>#N/A</v>
      </c>
      <c r="AY127" s="1" t="e">
        <f t="shared" si="66"/>
        <v>#N/A</v>
      </c>
      <c r="AZ127" s="1" t="e">
        <f t="shared" si="67"/>
        <v>#N/A</v>
      </c>
      <c r="BA127" s="1" t="e">
        <f t="shared" si="68"/>
        <v>#N/A</v>
      </c>
      <c r="BB127" s="1" t="e">
        <f t="shared" si="69"/>
        <v>#N/A</v>
      </c>
    </row>
    <row r="128" spans="1:54" x14ac:dyDescent="0.2">
      <c r="A128" s="1" t="e">
        <f>IF(OR(Table1[[#This Row],[Type (TX, RX, TRX, Oscillator)]]="TX", Table1[[#This Row],[Type (TX, RX, TRX, Oscillator)]]="TX FE"),Table1[[#This Row],[Frequency (GHz)]],#N/A)</f>
        <v>#N/A</v>
      </c>
      <c r="B128" s="30" t="e">
        <f>IF(OR(Table1[[#This Row],[Type (TX, RX, TRX, Oscillator)]]="TX", Table1[[#This Row],[Type (TX, RX, TRX, Oscillator)]]="TX FE"),DATE(Table1[[#This Row],[Year ]],Table1[[#This Row],[Month]],1),#N/A)</f>
        <v>#N/A</v>
      </c>
      <c r="C128" s="1" t="e">
        <f>IF(OR(Table1[[#This Row],[Type (TX, RX, TRX, Oscillator)]]="TX",Table1[[#This Row],[Type (TX, RX, TRX, Oscillator)]]="TX FE"),Table1[[#This Row],[Total Number of Elements (TX + RX)]],#N/A)</f>
        <v>#N/A</v>
      </c>
      <c r="D128" s="1" t="e">
        <f t="shared" si="35"/>
        <v>#N/A</v>
      </c>
      <c r="E128" s="1" t="e">
        <f t="shared" si="36"/>
        <v>#N/A</v>
      </c>
      <c r="F128" s="1" t="e">
        <f t="shared" si="37"/>
        <v>#N/A</v>
      </c>
      <c r="G128" s="1" t="e">
        <f t="shared" si="38"/>
        <v>#N/A</v>
      </c>
      <c r="H128" s="1" t="e">
        <f t="shared" si="39"/>
        <v>#N/A</v>
      </c>
      <c r="I128" s="1" t="e">
        <f t="shared" si="40"/>
        <v>#N/A</v>
      </c>
      <c r="J128" s="1" t="e">
        <f t="shared" si="41"/>
        <v>#N/A</v>
      </c>
      <c r="L128" s="1" t="e">
        <f>IF(OR(Table1[[#This Row],[Type (TX, RX, TRX, Oscillator)]]="RX", Table1[[#This Row],[Type (TX, RX, TRX, Oscillator)]]="RX FE"),Table1[[#This Row],[Frequency (GHz)]],#N/A)</f>
        <v>#N/A</v>
      </c>
      <c r="M128" s="30" t="e">
        <f>IF(OR(Table1[[#This Row],[Type (TX, RX, TRX, Oscillator)]]="RX", Table1[[#This Row],[Type (TX, RX, TRX, Oscillator)]]="RX FE"),DATE(Table1[[#This Row],[Year ]],Table1[[#This Row],[Month]],1),#N/A)</f>
        <v>#N/A</v>
      </c>
      <c r="N128" s="1" t="e">
        <f>IF(OR(Table1[[#This Row],[Type (TX, RX, TRX, Oscillator)]]="RX", Table1[[#This Row],[Type (TX, RX, TRX, Oscillator)]]="RX FE"),Table1[[#This Row],[Total Number of Elements (TX + RX)]],#N/A)</f>
        <v>#N/A</v>
      </c>
      <c r="O128" s="1" t="e">
        <f t="shared" si="42"/>
        <v>#N/A</v>
      </c>
      <c r="P128" s="1" t="e">
        <f t="shared" si="43"/>
        <v>#N/A</v>
      </c>
      <c r="Q128" s="1" t="e">
        <f t="shared" si="44"/>
        <v>#N/A</v>
      </c>
      <c r="R128" s="1" t="e">
        <f t="shared" si="45"/>
        <v>#N/A</v>
      </c>
      <c r="S128" s="1" t="e">
        <f t="shared" si="46"/>
        <v>#N/A</v>
      </c>
      <c r="T128" s="1" t="e">
        <f t="shared" si="47"/>
        <v>#N/A</v>
      </c>
      <c r="U128" s="1" t="e">
        <f t="shared" si="48"/>
        <v>#N/A</v>
      </c>
      <c r="W128" s="1">
        <f>IF(OR(Table1[[#This Row],[Type (TX, RX, TRX, Oscillator)]]="TRX",Table1[[#This Row],[Type (TX, RX, TRX, Oscillator)]]="TRX FE"),Table1[[#This Row],[Frequency (GHz)]],#N/A)</f>
        <v>39</v>
      </c>
      <c r="X128" s="30">
        <f>IF(OR(Table1[[#This Row],[Type (TX, RX, TRX, Oscillator)]]="TRX", Table1[[#This Row],[Type (TX, RX, TRX, Oscillator)]]="TRX FE"),DATE(Table1[[#This Row],[Year ]],Table1[[#This Row],[Month]],1),#N/A)</f>
        <v>44927</v>
      </c>
      <c r="Y128" s="1">
        <f>IF(OR(Table1[[#This Row],[Type (TX, RX, TRX, Oscillator)]]="TRX", Table1[[#This Row],[Type (TX, RX, TRX, Oscillator)]]="TRX FE"),Table1[[#This Row],[Total Number of Elements (TX + RX)]],#N/A)</f>
        <v>128</v>
      </c>
      <c r="Z128" s="1" t="e">
        <f t="shared" si="49"/>
        <v>#N/A</v>
      </c>
      <c r="AA128" s="1">
        <f t="shared" si="50"/>
        <v>128</v>
      </c>
      <c r="AB128" s="1" t="e">
        <f t="shared" si="51"/>
        <v>#N/A</v>
      </c>
      <c r="AC128" s="1" t="e">
        <f t="shared" si="52"/>
        <v>#N/A</v>
      </c>
      <c r="AD128" s="1" t="e">
        <f t="shared" si="53"/>
        <v>#N/A</v>
      </c>
      <c r="AE128" s="1" t="e">
        <f t="shared" si="54"/>
        <v>#N/A</v>
      </c>
      <c r="AF128" s="1" t="e">
        <f t="shared" si="55"/>
        <v>#N/A</v>
      </c>
      <c r="AH128" s="1" t="e">
        <f>IF(Table1[[#This Row],[Type (TX, RX, TRX, Oscillator)]]="Oscillator",Table1[[#This Row],[Frequency (GHz)]],#N/A)</f>
        <v>#N/A</v>
      </c>
      <c r="AI128" s="30" t="e">
        <f>IF(Table1[[#This Row],[Type (TX, RX, TRX, Oscillator)]]="Oscillator",DATE(Table1[[#This Row],[Year ]],Table1[[#This Row],[Month]],1),#N/A)</f>
        <v>#N/A</v>
      </c>
      <c r="AJ128" s="1" t="e">
        <f>IF(Table1[[#This Row],[Type (TX, RX, TRX, Oscillator)]]="Oscillator",Table1[[#This Row],[Total Number of Elements (TX + RX)]],#N/A)</f>
        <v>#N/A</v>
      </c>
      <c r="AK128" s="1" t="e">
        <f t="shared" si="56"/>
        <v>#N/A</v>
      </c>
      <c r="AL128" s="1" t="e">
        <f t="shared" si="57"/>
        <v>#N/A</v>
      </c>
      <c r="AM128" s="1" t="e">
        <f t="shared" si="58"/>
        <v>#N/A</v>
      </c>
      <c r="AN128" s="1" t="e">
        <f t="shared" si="59"/>
        <v>#N/A</v>
      </c>
      <c r="AO128" s="1" t="e">
        <f t="shared" si="60"/>
        <v>#N/A</v>
      </c>
      <c r="AP128" s="1" t="e">
        <f t="shared" si="61"/>
        <v>#N/A</v>
      </c>
      <c r="AQ128" s="1" t="e">
        <f t="shared" si="62"/>
        <v>#N/A</v>
      </c>
      <c r="AS128" s="1" t="e">
        <f>IF(Table1[[#This Row],[Type (TX, RX, TRX, Oscillator)]]="Relay",Table1[[#This Row],[Frequency (GHz)]],#N/A)</f>
        <v>#N/A</v>
      </c>
      <c r="AT128" s="30" t="e">
        <f>IF(Table1[[#This Row],[Type (TX, RX, TRX, Oscillator)]]="Relay",DATE(Table1[[#This Row],[Year ]],Table1[[#This Row],[Month]],1),#N/A)</f>
        <v>#N/A</v>
      </c>
      <c r="AU128" s="1" t="e">
        <f>IF(Table1[[#This Row],[Type (TX, RX, TRX, Oscillator)]]="Relay",Table1[[#This Row],[Total Number of Elements (TX + RX)]],#N/A)</f>
        <v>#N/A</v>
      </c>
      <c r="AV128" s="1" t="e">
        <f t="shared" si="63"/>
        <v>#N/A</v>
      </c>
      <c r="AW128" s="1" t="e">
        <f t="shared" si="64"/>
        <v>#N/A</v>
      </c>
      <c r="AX128" s="1" t="e">
        <f t="shared" si="65"/>
        <v>#N/A</v>
      </c>
      <c r="AY128" s="1" t="e">
        <f t="shared" si="66"/>
        <v>#N/A</v>
      </c>
      <c r="AZ128" s="1" t="e">
        <f t="shared" si="67"/>
        <v>#N/A</v>
      </c>
      <c r="BA128" s="1" t="e">
        <f t="shared" si="68"/>
        <v>#N/A</v>
      </c>
      <c r="BB128" s="1" t="e">
        <f t="shared" si="69"/>
        <v>#N/A</v>
      </c>
    </row>
    <row r="129" spans="1:54" x14ac:dyDescent="0.2">
      <c r="A129" s="1" t="e">
        <f>IF(OR(Table1[[#This Row],[Type (TX, RX, TRX, Oscillator)]]="TX", Table1[[#This Row],[Type (TX, RX, TRX, Oscillator)]]="TX FE"),Table1[[#This Row],[Frequency (GHz)]],#N/A)</f>
        <v>#N/A</v>
      </c>
      <c r="B129" s="30" t="e">
        <f>IF(OR(Table1[[#This Row],[Type (TX, RX, TRX, Oscillator)]]="TX", Table1[[#This Row],[Type (TX, RX, TRX, Oscillator)]]="TX FE"),DATE(Table1[[#This Row],[Year ]],Table1[[#This Row],[Month]],1),#N/A)</f>
        <v>#N/A</v>
      </c>
      <c r="C129" s="1" t="e">
        <f>IF(OR(Table1[[#This Row],[Type (TX, RX, TRX, Oscillator)]]="TX",Table1[[#This Row],[Type (TX, RX, TRX, Oscillator)]]="TX FE"),Table1[[#This Row],[Total Number of Elements (TX + RX)]],#N/A)</f>
        <v>#N/A</v>
      </c>
      <c r="D129" s="1" t="e">
        <f t="shared" si="35"/>
        <v>#N/A</v>
      </c>
      <c r="E129" s="1" t="e">
        <f t="shared" si="36"/>
        <v>#N/A</v>
      </c>
      <c r="F129" s="1" t="e">
        <f t="shared" si="37"/>
        <v>#N/A</v>
      </c>
      <c r="G129" s="1" t="e">
        <f t="shared" si="38"/>
        <v>#N/A</v>
      </c>
      <c r="H129" s="1" t="e">
        <f t="shared" si="39"/>
        <v>#N/A</v>
      </c>
      <c r="I129" s="1" t="e">
        <f t="shared" si="40"/>
        <v>#N/A</v>
      </c>
      <c r="J129" s="1" t="e">
        <f t="shared" si="41"/>
        <v>#N/A</v>
      </c>
      <c r="L129" s="1" t="e">
        <f>IF(OR(Table1[[#This Row],[Type (TX, RX, TRX, Oscillator)]]="RX", Table1[[#This Row],[Type (TX, RX, TRX, Oscillator)]]="RX FE"),Table1[[#This Row],[Frequency (GHz)]],#N/A)</f>
        <v>#N/A</v>
      </c>
      <c r="M129" s="30" t="e">
        <f>IF(OR(Table1[[#This Row],[Type (TX, RX, TRX, Oscillator)]]="RX", Table1[[#This Row],[Type (TX, RX, TRX, Oscillator)]]="RX FE"),DATE(Table1[[#This Row],[Year ]],Table1[[#This Row],[Month]],1),#N/A)</f>
        <v>#N/A</v>
      </c>
      <c r="N129" s="1" t="e">
        <f>IF(OR(Table1[[#This Row],[Type (TX, RX, TRX, Oscillator)]]="RX", Table1[[#This Row],[Type (TX, RX, TRX, Oscillator)]]="RX FE"),Table1[[#This Row],[Total Number of Elements (TX + RX)]],#N/A)</f>
        <v>#N/A</v>
      </c>
      <c r="O129" s="1" t="e">
        <f t="shared" si="42"/>
        <v>#N/A</v>
      </c>
      <c r="P129" s="1" t="e">
        <f t="shared" si="43"/>
        <v>#N/A</v>
      </c>
      <c r="Q129" s="1" t="e">
        <f t="shared" si="44"/>
        <v>#N/A</v>
      </c>
      <c r="R129" s="1" t="e">
        <f t="shared" si="45"/>
        <v>#N/A</v>
      </c>
      <c r="S129" s="1" t="e">
        <f t="shared" si="46"/>
        <v>#N/A</v>
      </c>
      <c r="T129" s="1" t="e">
        <f t="shared" si="47"/>
        <v>#N/A</v>
      </c>
      <c r="U129" s="1" t="e">
        <f t="shared" si="48"/>
        <v>#N/A</v>
      </c>
      <c r="W129" s="1">
        <f>IF(OR(Table1[[#This Row],[Type (TX, RX, TRX, Oscillator)]]="TRX",Table1[[#This Row],[Type (TX, RX, TRX, Oscillator)]]="TRX FE"),Table1[[#This Row],[Frequency (GHz)]],#N/A)</f>
        <v>141</v>
      </c>
      <c r="X129" s="30">
        <f>IF(OR(Table1[[#This Row],[Type (TX, RX, TRX, Oscillator)]]="TRX", Table1[[#This Row],[Type (TX, RX, TRX, Oscillator)]]="TRX FE"),DATE(Table1[[#This Row],[Year ]],Table1[[#This Row],[Month]],1),#N/A)</f>
        <v>44927</v>
      </c>
      <c r="Y129" s="1">
        <f>IF(OR(Table1[[#This Row],[Type (TX, RX, TRX, Oscillator)]]="TRX", Table1[[#This Row],[Type (TX, RX, TRX, Oscillator)]]="TRX FE"),Table1[[#This Row],[Total Number of Elements (TX + RX)]],#N/A)</f>
        <v>8</v>
      </c>
      <c r="Z129" s="1" t="e">
        <f t="shared" si="49"/>
        <v>#N/A</v>
      </c>
      <c r="AA129" s="1" t="e">
        <f t="shared" si="50"/>
        <v>#N/A</v>
      </c>
      <c r="AB129" s="1" t="e">
        <f t="shared" si="51"/>
        <v>#N/A</v>
      </c>
      <c r="AC129" s="1" t="e">
        <f t="shared" si="52"/>
        <v>#N/A</v>
      </c>
      <c r="AD129" s="1">
        <f t="shared" si="53"/>
        <v>8</v>
      </c>
      <c r="AE129" s="1" t="e">
        <f t="shared" si="54"/>
        <v>#N/A</v>
      </c>
      <c r="AF129" s="1" t="e">
        <f t="shared" si="55"/>
        <v>#N/A</v>
      </c>
      <c r="AH129" s="1" t="e">
        <f>IF(Table1[[#This Row],[Type (TX, RX, TRX, Oscillator)]]="Oscillator",Table1[[#This Row],[Frequency (GHz)]],#N/A)</f>
        <v>#N/A</v>
      </c>
      <c r="AI129" s="30" t="e">
        <f>IF(Table1[[#This Row],[Type (TX, RX, TRX, Oscillator)]]="Oscillator",DATE(Table1[[#This Row],[Year ]],Table1[[#This Row],[Month]],1),#N/A)</f>
        <v>#N/A</v>
      </c>
      <c r="AJ129" s="1" t="e">
        <f>IF(Table1[[#This Row],[Type (TX, RX, TRX, Oscillator)]]="Oscillator",Table1[[#This Row],[Total Number of Elements (TX + RX)]],#N/A)</f>
        <v>#N/A</v>
      </c>
      <c r="AK129" s="1" t="e">
        <f t="shared" si="56"/>
        <v>#N/A</v>
      </c>
      <c r="AL129" s="1" t="e">
        <f t="shared" si="57"/>
        <v>#N/A</v>
      </c>
      <c r="AM129" s="1" t="e">
        <f t="shared" si="58"/>
        <v>#N/A</v>
      </c>
      <c r="AN129" s="1" t="e">
        <f t="shared" si="59"/>
        <v>#N/A</v>
      </c>
      <c r="AO129" s="1" t="e">
        <f t="shared" si="60"/>
        <v>#N/A</v>
      </c>
      <c r="AP129" s="1" t="e">
        <f t="shared" si="61"/>
        <v>#N/A</v>
      </c>
      <c r="AQ129" s="1" t="e">
        <f t="shared" si="62"/>
        <v>#N/A</v>
      </c>
      <c r="AS129" s="1" t="e">
        <f>IF(Table1[[#This Row],[Type (TX, RX, TRX, Oscillator)]]="Relay",Table1[[#This Row],[Frequency (GHz)]],#N/A)</f>
        <v>#N/A</v>
      </c>
      <c r="AT129" s="30" t="e">
        <f>IF(Table1[[#This Row],[Type (TX, RX, TRX, Oscillator)]]="Relay",DATE(Table1[[#This Row],[Year ]],Table1[[#This Row],[Month]],1),#N/A)</f>
        <v>#N/A</v>
      </c>
      <c r="AU129" s="1" t="e">
        <f>IF(Table1[[#This Row],[Type (TX, RX, TRX, Oscillator)]]="Relay",Table1[[#This Row],[Total Number of Elements (TX + RX)]],#N/A)</f>
        <v>#N/A</v>
      </c>
      <c r="AV129" s="1" t="e">
        <f t="shared" si="63"/>
        <v>#N/A</v>
      </c>
      <c r="AW129" s="1" t="e">
        <f t="shared" si="64"/>
        <v>#N/A</v>
      </c>
      <c r="AX129" s="1" t="e">
        <f t="shared" si="65"/>
        <v>#N/A</v>
      </c>
      <c r="AY129" s="1" t="e">
        <f t="shared" si="66"/>
        <v>#N/A</v>
      </c>
      <c r="AZ129" s="1" t="e">
        <f t="shared" si="67"/>
        <v>#N/A</v>
      </c>
      <c r="BA129" s="1" t="e">
        <f t="shared" si="68"/>
        <v>#N/A</v>
      </c>
      <c r="BB129" s="1" t="e">
        <f t="shared" si="69"/>
        <v>#N/A</v>
      </c>
    </row>
    <row r="130" spans="1:54" x14ac:dyDescent="0.2">
      <c r="A130" s="1">
        <f>IF(OR(Table1[[#This Row],[Type (TX, RX, TRX, Oscillator)]]="TX", Table1[[#This Row],[Type (TX, RX, TRX, Oscillator)]]="TX FE"),Table1[[#This Row],[Frequency (GHz)]],#N/A)</f>
        <v>28</v>
      </c>
      <c r="B130" s="30">
        <f>IF(OR(Table1[[#This Row],[Type (TX, RX, TRX, Oscillator)]]="TX", Table1[[#This Row],[Type (TX, RX, TRX, Oscillator)]]="TX FE"),DATE(Table1[[#This Row],[Year ]],Table1[[#This Row],[Month]],1),#N/A)</f>
        <v>44927</v>
      </c>
      <c r="C130" s="1">
        <f>IF(OR(Table1[[#This Row],[Type (TX, RX, TRX, Oscillator)]]="TX",Table1[[#This Row],[Type (TX, RX, TRX, Oscillator)]]="TX FE"),Table1[[#This Row],[Total Number of Elements (TX + RX)]],#N/A)</f>
        <v>4</v>
      </c>
      <c r="D130" s="1" t="e">
        <f t="shared" si="35"/>
        <v>#N/A</v>
      </c>
      <c r="E130" s="1">
        <f t="shared" si="36"/>
        <v>4</v>
      </c>
      <c r="F130" s="1" t="e">
        <f t="shared" si="37"/>
        <v>#N/A</v>
      </c>
      <c r="G130" s="1" t="e">
        <f t="shared" si="38"/>
        <v>#N/A</v>
      </c>
      <c r="H130" s="1" t="e">
        <f t="shared" si="39"/>
        <v>#N/A</v>
      </c>
      <c r="I130" s="1" t="e">
        <f t="shared" si="40"/>
        <v>#N/A</v>
      </c>
      <c r="J130" s="1" t="e">
        <f t="shared" si="41"/>
        <v>#N/A</v>
      </c>
      <c r="L130" s="1" t="e">
        <f>IF(OR(Table1[[#This Row],[Type (TX, RX, TRX, Oscillator)]]="RX", Table1[[#This Row],[Type (TX, RX, TRX, Oscillator)]]="RX FE"),Table1[[#This Row],[Frequency (GHz)]],#N/A)</f>
        <v>#N/A</v>
      </c>
      <c r="M130" s="30" t="e">
        <f>IF(OR(Table1[[#This Row],[Type (TX, RX, TRX, Oscillator)]]="RX", Table1[[#This Row],[Type (TX, RX, TRX, Oscillator)]]="RX FE"),DATE(Table1[[#This Row],[Year ]],Table1[[#This Row],[Month]],1),#N/A)</f>
        <v>#N/A</v>
      </c>
      <c r="N130" s="1" t="e">
        <f>IF(OR(Table1[[#This Row],[Type (TX, RX, TRX, Oscillator)]]="RX", Table1[[#This Row],[Type (TX, RX, TRX, Oscillator)]]="RX FE"),Table1[[#This Row],[Total Number of Elements (TX + RX)]],#N/A)</f>
        <v>#N/A</v>
      </c>
      <c r="O130" s="1" t="e">
        <f t="shared" si="42"/>
        <v>#N/A</v>
      </c>
      <c r="P130" s="1" t="e">
        <f t="shared" si="43"/>
        <v>#N/A</v>
      </c>
      <c r="Q130" s="1" t="e">
        <f t="shared" si="44"/>
        <v>#N/A</v>
      </c>
      <c r="R130" s="1" t="e">
        <f t="shared" si="45"/>
        <v>#N/A</v>
      </c>
      <c r="S130" s="1" t="e">
        <f t="shared" si="46"/>
        <v>#N/A</v>
      </c>
      <c r="T130" s="1" t="e">
        <f t="shared" si="47"/>
        <v>#N/A</v>
      </c>
      <c r="U130" s="1" t="e">
        <f t="shared" si="48"/>
        <v>#N/A</v>
      </c>
      <c r="W130" s="1" t="e">
        <f>IF(OR(Table1[[#This Row],[Type (TX, RX, TRX, Oscillator)]]="TRX",Table1[[#This Row],[Type (TX, RX, TRX, Oscillator)]]="TRX FE"),Table1[[#This Row],[Frequency (GHz)]],#N/A)</f>
        <v>#N/A</v>
      </c>
      <c r="X130" s="30" t="e">
        <f>IF(OR(Table1[[#This Row],[Type (TX, RX, TRX, Oscillator)]]="TRX", Table1[[#This Row],[Type (TX, RX, TRX, Oscillator)]]="TRX FE"),DATE(Table1[[#This Row],[Year ]],Table1[[#This Row],[Month]],1),#N/A)</f>
        <v>#N/A</v>
      </c>
      <c r="Y130" s="1" t="e">
        <f>IF(OR(Table1[[#This Row],[Type (TX, RX, TRX, Oscillator)]]="TRX", Table1[[#This Row],[Type (TX, RX, TRX, Oscillator)]]="TRX FE"),Table1[[#This Row],[Total Number of Elements (TX + RX)]],#N/A)</f>
        <v>#N/A</v>
      </c>
      <c r="Z130" s="1" t="e">
        <f t="shared" si="49"/>
        <v>#N/A</v>
      </c>
      <c r="AA130" s="1" t="e">
        <f t="shared" si="50"/>
        <v>#N/A</v>
      </c>
      <c r="AB130" s="1" t="e">
        <f t="shared" si="51"/>
        <v>#N/A</v>
      </c>
      <c r="AC130" s="1" t="e">
        <f t="shared" si="52"/>
        <v>#N/A</v>
      </c>
      <c r="AD130" s="1" t="e">
        <f t="shared" si="53"/>
        <v>#N/A</v>
      </c>
      <c r="AE130" s="1" t="e">
        <f t="shared" si="54"/>
        <v>#N/A</v>
      </c>
      <c r="AF130" s="1" t="e">
        <f t="shared" si="55"/>
        <v>#N/A</v>
      </c>
      <c r="AH130" s="1" t="e">
        <f>IF(Table1[[#This Row],[Type (TX, RX, TRX, Oscillator)]]="Oscillator",Table1[[#This Row],[Frequency (GHz)]],#N/A)</f>
        <v>#N/A</v>
      </c>
      <c r="AI130" s="30" t="e">
        <f>IF(Table1[[#This Row],[Type (TX, RX, TRX, Oscillator)]]="Oscillator",DATE(Table1[[#This Row],[Year ]],Table1[[#This Row],[Month]],1),#N/A)</f>
        <v>#N/A</v>
      </c>
      <c r="AJ130" s="1" t="e">
        <f>IF(Table1[[#This Row],[Type (TX, RX, TRX, Oscillator)]]="Oscillator",Table1[[#This Row],[Total Number of Elements (TX + RX)]],#N/A)</f>
        <v>#N/A</v>
      </c>
      <c r="AK130" s="1" t="e">
        <f t="shared" si="56"/>
        <v>#N/A</v>
      </c>
      <c r="AL130" s="1" t="e">
        <f t="shared" si="57"/>
        <v>#N/A</v>
      </c>
      <c r="AM130" s="1" t="e">
        <f t="shared" si="58"/>
        <v>#N/A</v>
      </c>
      <c r="AN130" s="1" t="e">
        <f t="shared" si="59"/>
        <v>#N/A</v>
      </c>
      <c r="AO130" s="1" t="e">
        <f t="shared" si="60"/>
        <v>#N/A</v>
      </c>
      <c r="AP130" s="1" t="e">
        <f t="shared" si="61"/>
        <v>#N/A</v>
      </c>
      <c r="AQ130" s="1" t="e">
        <f t="shared" si="62"/>
        <v>#N/A</v>
      </c>
      <c r="AS130" s="1" t="e">
        <f>IF(Table1[[#This Row],[Type (TX, RX, TRX, Oscillator)]]="Relay",Table1[[#This Row],[Frequency (GHz)]],#N/A)</f>
        <v>#N/A</v>
      </c>
      <c r="AT130" s="30" t="e">
        <f>IF(Table1[[#This Row],[Type (TX, RX, TRX, Oscillator)]]="Relay",DATE(Table1[[#This Row],[Year ]],Table1[[#This Row],[Month]],1),#N/A)</f>
        <v>#N/A</v>
      </c>
      <c r="AU130" s="1" t="e">
        <f>IF(Table1[[#This Row],[Type (TX, RX, TRX, Oscillator)]]="Relay",Table1[[#This Row],[Total Number of Elements (TX + RX)]],#N/A)</f>
        <v>#N/A</v>
      </c>
      <c r="AV130" s="1" t="e">
        <f t="shared" si="63"/>
        <v>#N/A</v>
      </c>
      <c r="AW130" s="1" t="e">
        <f t="shared" si="64"/>
        <v>#N/A</v>
      </c>
      <c r="AX130" s="1" t="e">
        <f t="shared" si="65"/>
        <v>#N/A</v>
      </c>
      <c r="AY130" s="1" t="e">
        <f t="shared" si="66"/>
        <v>#N/A</v>
      </c>
      <c r="AZ130" s="1" t="e">
        <f t="shared" si="67"/>
        <v>#N/A</v>
      </c>
      <c r="BA130" s="1" t="e">
        <f t="shared" si="68"/>
        <v>#N/A</v>
      </c>
      <c r="BB130" s="1" t="e">
        <f t="shared" si="69"/>
        <v>#N/A</v>
      </c>
    </row>
    <row r="131" spans="1:54" x14ac:dyDescent="0.2">
      <c r="A131" s="1">
        <f>IF(OR(Table1[[#This Row],[Type (TX, RX, TRX, Oscillator)]]="TX", Table1[[#This Row],[Type (TX, RX, TRX, Oscillator)]]="TX FE"),Table1[[#This Row],[Frequency (GHz)]],#N/A)</f>
        <v>77</v>
      </c>
      <c r="B131" s="30">
        <f>IF(OR(Table1[[#This Row],[Type (TX, RX, TRX, Oscillator)]]="TX", Table1[[#This Row],[Type (TX, RX, TRX, Oscillator)]]="TX FE"),DATE(Table1[[#This Row],[Year ]],Table1[[#This Row],[Month]],1),#N/A)</f>
        <v>44958</v>
      </c>
      <c r="C131" s="1">
        <f>IF(OR(Table1[[#This Row],[Type (TX, RX, TRX, Oscillator)]]="TX",Table1[[#This Row],[Type (TX, RX, TRX, Oscillator)]]="TX FE"),Table1[[#This Row],[Total Number of Elements (TX + RX)]],#N/A)</f>
        <v>1</v>
      </c>
      <c r="D131" s="1" t="e">
        <f t="shared" ref="D131:D147" si="70">IF(A131&lt;20,C131,#N/A)</f>
        <v>#N/A</v>
      </c>
      <c r="E131" s="1" t="e">
        <f t="shared" ref="E131:E147" si="71">IF(AND(A131&gt;=20,A131&lt;50),C131,#N/A)</f>
        <v>#N/A</v>
      </c>
      <c r="F131" s="1" t="e">
        <f t="shared" ref="F131:F147" si="72">IF(AND(A131&gt;=50,A131&lt;75),C131,#N/A)</f>
        <v>#N/A</v>
      </c>
      <c r="G131" s="1">
        <f t="shared" ref="G131:G147" si="73">IF(AND(A131&gt;=75,A131&lt;110),C131,#N/A)</f>
        <v>1</v>
      </c>
      <c r="H131" s="1" t="e">
        <f t="shared" ref="H131:H147" si="74">IF(AND(A131&gt;=110,A131&lt;170),C131,#N/A)</f>
        <v>#N/A</v>
      </c>
      <c r="I131" s="1" t="e">
        <f t="shared" ref="I131:I147" si="75">IF(AND(A131&gt;=170,A131&lt;260),C131,#N/A)</f>
        <v>#N/A</v>
      </c>
      <c r="J131" s="1" t="e">
        <f t="shared" ref="J131:J147" si="76">IF(A131&gt;=260,C131,#N/A)</f>
        <v>#N/A</v>
      </c>
      <c r="L131" s="1" t="e">
        <f>IF(OR(Table1[[#This Row],[Type (TX, RX, TRX, Oscillator)]]="RX", Table1[[#This Row],[Type (TX, RX, TRX, Oscillator)]]="RX FE"),Table1[[#This Row],[Frequency (GHz)]],#N/A)</f>
        <v>#N/A</v>
      </c>
      <c r="M131" s="30" t="e">
        <f>IF(OR(Table1[[#This Row],[Type (TX, RX, TRX, Oscillator)]]="RX", Table1[[#This Row],[Type (TX, RX, TRX, Oscillator)]]="RX FE"),DATE(Table1[[#This Row],[Year ]],Table1[[#This Row],[Month]],1),#N/A)</f>
        <v>#N/A</v>
      </c>
      <c r="N131" s="1" t="e">
        <f>IF(OR(Table1[[#This Row],[Type (TX, RX, TRX, Oscillator)]]="RX", Table1[[#This Row],[Type (TX, RX, TRX, Oscillator)]]="RX FE"),Table1[[#This Row],[Total Number of Elements (TX + RX)]],#N/A)</f>
        <v>#N/A</v>
      </c>
      <c r="O131" s="1" t="e">
        <f t="shared" ref="O131:O147" si="77">IF(L131&lt;20,N131,#N/A)</f>
        <v>#N/A</v>
      </c>
      <c r="P131" s="1" t="e">
        <f t="shared" ref="P131:P147" si="78">IF(AND(L131&gt;=20,L131&lt;50),N131,#N/A)</f>
        <v>#N/A</v>
      </c>
      <c r="Q131" s="1" t="e">
        <f t="shared" ref="Q131:Q147" si="79">IF(AND(L131&gt;=50,L131&lt;75),N131,#N/A)</f>
        <v>#N/A</v>
      </c>
      <c r="R131" s="1" t="e">
        <f t="shared" ref="R131:R147" si="80">IF(AND(L131&gt;=75,L131&lt;110),N131,#N/A)</f>
        <v>#N/A</v>
      </c>
      <c r="S131" s="1" t="e">
        <f t="shared" ref="S131:S147" si="81">IF(AND(L131&gt;=110,L131&lt;170),N131,#N/A)</f>
        <v>#N/A</v>
      </c>
      <c r="T131" s="1" t="e">
        <f t="shared" ref="T131:T147" si="82">IF(AND(L131&gt;=170,L131&lt;260),N131,#N/A)</f>
        <v>#N/A</v>
      </c>
      <c r="U131" s="1" t="e">
        <f t="shared" ref="U131:U147" si="83">IF(L131&gt;=260,N131,#N/A)</f>
        <v>#N/A</v>
      </c>
      <c r="W131" s="1" t="e">
        <f>IF(OR(Table1[[#This Row],[Type (TX, RX, TRX, Oscillator)]]="TRX",Table1[[#This Row],[Type (TX, RX, TRX, Oscillator)]]="TRX FE"),Table1[[#This Row],[Frequency (GHz)]],#N/A)</f>
        <v>#N/A</v>
      </c>
      <c r="X131" s="30" t="e">
        <f>IF(OR(Table1[[#This Row],[Type (TX, RX, TRX, Oscillator)]]="TRX", Table1[[#This Row],[Type (TX, RX, TRX, Oscillator)]]="TRX FE"),DATE(Table1[[#This Row],[Year ]],Table1[[#This Row],[Month]],1),#N/A)</f>
        <v>#N/A</v>
      </c>
      <c r="Y131" s="1" t="e">
        <f>IF(OR(Table1[[#This Row],[Type (TX, RX, TRX, Oscillator)]]="TRX", Table1[[#This Row],[Type (TX, RX, TRX, Oscillator)]]="TRX FE"),Table1[[#This Row],[Total Number of Elements (TX + RX)]],#N/A)</f>
        <v>#N/A</v>
      </c>
      <c r="Z131" s="1" t="e">
        <f t="shared" ref="Z131:Z147" si="84">IF(W131&lt;20,Y131,#N/A)</f>
        <v>#N/A</v>
      </c>
      <c r="AA131" s="1" t="e">
        <f t="shared" ref="AA131:AA147" si="85">IF(AND(W131&gt;=20,W131&lt;50),Y131,#N/A)</f>
        <v>#N/A</v>
      </c>
      <c r="AB131" s="1" t="e">
        <f t="shared" ref="AB131:AB147" si="86">IF(AND(W131&gt;=50,W131&lt;75),Y131,#N/A)</f>
        <v>#N/A</v>
      </c>
      <c r="AC131" s="1" t="e">
        <f t="shared" ref="AC131:AC147" si="87">IF(AND(W131&gt;=75,W131&lt;110),Y131,#N/A)</f>
        <v>#N/A</v>
      </c>
      <c r="AD131" s="1" t="e">
        <f t="shared" ref="AD131:AD147" si="88">IF(AND(W131&gt;=110,W131&lt;170),Y131,#N/A)</f>
        <v>#N/A</v>
      </c>
      <c r="AE131" s="1" t="e">
        <f t="shared" ref="AE131:AE147" si="89">IF(AND(W131&gt;=170,W131&lt;260),Y131,#N/A)</f>
        <v>#N/A</v>
      </c>
      <c r="AF131" s="1" t="e">
        <f t="shared" ref="AF131:AF147" si="90">IF(W131&gt;=260,Y131,#N/A)</f>
        <v>#N/A</v>
      </c>
      <c r="AH131" s="1" t="e">
        <f>IF(Table1[[#This Row],[Type (TX, RX, TRX, Oscillator)]]="Oscillator",Table1[[#This Row],[Frequency (GHz)]],#N/A)</f>
        <v>#N/A</v>
      </c>
      <c r="AI131" s="30" t="e">
        <f>IF(Table1[[#This Row],[Type (TX, RX, TRX, Oscillator)]]="Oscillator",DATE(Table1[[#This Row],[Year ]],Table1[[#This Row],[Month]],1),#N/A)</f>
        <v>#N/A</v>
      </c>
      <c r="AJ131" s="1" t="e">
        <f>IF(Table1[[#This Row],[Type (TX, RX, TRX, Oscillator)]]="Oscillator",Table1[[#This Row],[Total Number of Elements (TX + RX)]],#N/A)</f>
        <v>#N/A</v>
      </c>
      <c r="AK131" s="1" t="e">
        <f t="shared" ref="AK131:AK147" si="91">IF(AH131&lt;20,AJ131,#N/A)</f>
        <v>#N/A</v>
      </c>
      <c r="AL131" s="1" t="e">
        <f t="shared" ref="AL131:AL147" si="92">IF(AND(AH131&gt;=20,AH131&lt;50),AJ131,#N/A)</f>
        <v>#N/A</v>
      </c>
      <c r="AM131" s="1" t="e">
        <f t="shared" ref="AM131:AM147" si="93">IF(AND(AH131&gt;=50,AH131&lt;75),AJ131,#N/A)</f>
        <v>#N/A</v>
      </c>
      <c r="AN131" s="1" t="e">
        <f t="shared" ref="AN131:AN147" si="94">IF(AND(AH131&gt;=75,AH131&lt;110),AJ131,#N/A)</f>
        <v>#N/A</v>
      </c>
      <c r="AO131" s="1" t="e">
        <f t="shared" ref="AO131:AO147" si="95">IF(AND(AH131&gt;=110,AH131&lt;170),AJ131,#N/A)</f>
        <v>#N/A</v>
      </c>
      <c r="AP131" s="1" t="e">
        <f t="shared" ref="AP131:AP147" si="96">IF(AND(AH131&gt;=170,AH131&lt;260),AJ131,#N/A)</f>
        <v>#N/A</v>
      </c>
      <c r="AQ131" s="1" t="e">
        <f t="shared" ref="AQ131:AQ147" si="97">IF(AH131&gt;=260,AJ131,#N/A)</f>
        <v>#N/A</v>
      </c>
      <c r="AS131" s="1" t="e">
        <f>IF(Table1[[#This Row],[Type (TX, RX, TRX, Oscillator)]]="Relay",Table1[[#This Row],[Frequency (GHz)]],#N/A)</f>
        <v>#N/A</v>
      </c>
      <c r="AT131" s="30" t="e">
        <f>IF(Table1[[#This Row],[Type (TX, RX, TRX, Oscillator)]]="Relay",DATE(Table1[[#This Row],[Year ]],Table1[[#This Row],[Month]],1),#N/A)</f>
        <v>#N/A</v>
      </c>
      <c r="AU131" s="1" t="e">
        <f>IF(Table1[[#This Row],[Type (TX, RX, TRX, Oscillator)]]="Relay",Table1[[#This Row],[Total Number of Elements (TX + RX)]],#N/A)</f>
        <v>#N/A</v>
      </c>
      <c r="AV131" s="1" t="e">
        <f t="shared" ref="AV131:AV147" si="98">IF(AS131&lt;20,AU131,#N/A)</f>
        <v>#N/A</v>
      </c>
      <c r="AW131" s="1" t="e">
        <f t="shared" ref="AW131:AW147" si="99">IF(AND(AS131&gt;=20,AS131&lt;50),AU131,#N/A)</f>
        <v>#N/A</v>
      </c>
      <c r="AX131" s="1" t="e">
        <f t="shared" ref="AX131:AX147" si="100">IF(AND(AS131&gt;=50,AS131&lt;75),AU131,#N/A)</f>
        <v>#N/A</v>
      </c>
      <c r="AY131" s="1" t="e">
        <f t="shared" ref="AY131:AY147" si="101">IF(AND(AS131&gt;=75,AS131&lt;110),AU131,#N/A)</f>
        <v>#N/A</v>
      </c>
      <c r="AZ131" s="1" t="e">
        <f t="shared" ref="AZ131:AZ147" si="102">IF(AND(AS131&gt;=110,AS131&lt;170),AU131,#N/A)</f>
        <v>#N/A</v>
      </c>
      <c r="BA131" s="1" t="e">
        <f t="shared" ref="BA131:BA147" si="103">IF(AND(AS131&gt;=170,AS131&lt;260),AU131,#N/A)</f>
        <v>#N/A</v>
      </c>
      <c r="BB131" s="1" t="e">
        <f t="shared" ref="BB131:BB147" si="104">IF(AS131&gt;=260,AU131,#N/A)</f>
        <v>#N/A</v>
      </c>
    </row>
    <row r="132" spans="1:54" x14ac:dyDescent="0.2">
      <c r="A132" s="1">
        <f>IF(OR(Table1[[#This Row],[Type (TX, RX, TRX, Oscillator)]]="TX", Table1[[#This Row],[Type (TX, RX, TRX, Oscillator)]]="TX FE"),Table1[[#This Row],[Frequency (GHz)]],#N/A)</f>
        <v>246</v>
      </c>
      <c r="B132" s="30">
        <f>IF(OR(Table1[[#This Row],[Type (TX, RX, TRX, Oscillator)]]="TX", Table1[[#This Row],[Type (TX, RX, TRX, Oscillator)]]="TX FE"),DATE(Table1[[#This Row],[Year ]],Table1[[#This Row],[Month]],1),#N/A)</f>
        <v>44958</v>
      </c>
      <c r="C132" s="1">
        <f>IF(OR(Table1[[#This Row],[Type (TX, RX, TRX, Oscillator)]]="TX",Table1[[#This Row],[Type (TX, RX, TRX, Oscillator)]]="TX FE"),Table1[[#This Row],[Total Number of Elements (TX + RX)]],#N/A)</f>
        <v>1</v>
      </c>
      <c r="D132" s="1" t="e">
        <f t="shared" si="70"/>
        <v>#N/A</v>
      </c>
      <c r="E132" s="1" t="e">
        <f t="shared" si="71"/>
        <v>#N/A</v>
      </c>
      <c r="F132" s="1" t="e">
        <f t="shared" si="72"/>
        <v>#N/A</v>
      </c>
      <c r="G132" s="1" t="e">
        <f t="shared" si="73"/>
        <v>#N/A</v>
      </c>
      <c r="H132" s="1" t="e">
        <f t="shared" si="74"/>
        <v>#N/A</v>
      </c>
      <c r="I132" s="1">
        <f t="shared" si="75"/>
        <v>1</v>
      </c>
      <c r="J132" s="1" t="e">
        <f t="shared" si="76"/>
        <v>#N/A</v>
      </c>
      <c r="L132" s="1" t="e">
        <f>IF(OR(Table1[[#This Row],[Type (TX, RX, TRX, Oscillator)]]="RX", Table1[[#This Row],[Type (TX, RX, TRX, Oscillator)]]="RX FE"),Table1[[#This Row],[Frequency (GHz)]],#N/A)</f>
        <v>#N/A</v>
      </c>
      <c r="M132" s="30" t="e">
        <f>IF(OR(Table1[[#This Row],[Type (TX, RX, TRX, Oscillator)]]="RX", Table1[[#This Row],[Type (TX, RX, TRX, Oscillator)]]="RX FE"),DATE(Table1[[#This Row],[Year ]],Table1[[#This Row],[Month]],1),#N/A)</f>
        <v>#N/A</v>
      </c>
      <c r="N132" s="1" t="e">
        <f>IF(OR(Table1[[#This Row],[Type (TX, RX, TRX, Oscillator)]]="RX", Table1[[#This Row],[Type (TX, RX, TRX, Oscillator)]]="RX FE"),Table1[[#This Row],[Total Number of Elements (TX + RX)]],#N/A)</f>
        <v>#N/A</v>
      </c>
      <c r="O132" s="1" t="e">
        <f t="shared" si="77"/>
        <v>#N/A</v>
      </c>
      <c r="P132" s="1" t="e">
        <f t="shared" si="78"/>
        <v>#N/A</v>
      </c>
      <c r="Q132" s="1" t="e">
        <f t="shared" si="79"/>
        <v>#N/A</v>
      </c>
      <c r="R132" s="1" t="e">
        <f t="shared" si="80"/>
        <v>#N/A</v>
      </c>
      <c r="S132" s="1" t="e">
        <f t="shared" si="81"/>
        <v>#N/A</v>
      </c>
      <c r="T132" s="1" t="e">
        <f t="shared" si="82"/>
        <v>#N/A</v>
      </c>
      <c r="U132" s="1" t="e">
        <f t="shared" si="83"/>
        <v>#N/A</v>
      </c>
      <c r="W132" s="1" t="e">
        <f>IF(OR(Table1[[#This Row],[Type (TX, RX, TRX, Oscillator)]]="TRX",Table1[[#This Row],[Type (TX, RX, TRX, Oscillator)]]="TRX FE"),Table1[[#This Row],[Frequency (GHz)]],#N/A)</f>
        <v>#N/A</v>
      </c>
      <c r="X132" s="30" t="e">
        <f>IF(OR(Table1[[#This Row],[Type (TX, RX, TRX, Oscillator)]]="TRX", Table1[[#This Row],[Type (TX, RX, TRX, Oscillator)]]="TRX FE"),DATE(Table1[[#This Row],[Year ]],Table1[[#This Row],[Month]],1),#N/A)</f>
        <v>#N/A</v>
      </c>
      <c r="Y132" s="1" t="e">
        <f>IF(OR(Table1[[#This Row],[Type (TX, RX, TRX, Oscillator)]]="TRX", Table1[[#This Row],[Type (TX, RX, TRX, Oscillator)]]="TRX FE"),Table1[[#This Row],[Total Number of Elements (TX + RX)]],#N/A)</f>
        <v>#N/A</v>
      </c>
      <c r="Z132" s="1" t="e">
        <f t="shared" si="84"/>
        <v>#N/A</v>
      </c>
      <c r="AA132" s="1" t="e">
        <f t="shared" si="85"/>
        <v>#N/A</v>
      </c>
      <c r="AB132" s="1" t="e">
        <f t="shared" si="86"/>
        <v>#N/A</v>
      </c>
      <c r="AC132" s="1" t="e">
        <f t="shared" si="87"/>
        <v>#N/A</v>
      </c>
      <c r="AD132" s="1" t="e">
        <f t="shared" si="88"/>
        <v>#N/A</v>
      </c>
      <c r="AE132" s="1" t="e">
        <f t="shared" si="89"/>
        <v>#N/A</v>
      </c>
      <c r="AF132" s="1" t="e">
        <f t="shared" si="90"/>
        <v>#N/A</v>
      </c>
      <c r="AH132" s="1" t="e">
        <f>IF(Table1[[#This Row],[Type (TX, RX, TRX, Oscillator)]]="Oscillator",Table1[[#This Row],[Frequency (GHz)]],#N/A)</f>
        <v>#N/A</v>
      </c>
      <c r="AI132" s="30" t="e">
        <f>IF(Table1[[#This Row],[Type (TX, RX, TRX, Oscillator)]]="Oscillator",DATE(Table1[[#This Row],[Year ]],Table1[[#This Row],[Month]],1),#N/A)</f>
        <v>#N/A</v>
      </c>
      <c r="AJ132" s="1" t="e">
        <f>IF(Table1[[#This Row],[Type (TX, RX, TRX, Oscillator)]]="Oscillator",Table1[[#This Row],[Total Number of Elements (TX + RX)]],#N/A)</f>
        <v>#N/A</v>
      </c>
      <c r="AK132" s="1" t="e">
        <f t="shared" si="91"/>
        <v>#N/A</v>
      </c>
      <c r="AL132" s="1" t="e">
        <f t="shared" si="92"/>
        <v>#N/A</v>
      </c>
      <c r="AM132" s="1" t="e">
        <f t="shared" si="93"/>
        <v>#N/A</v>
      </c>
      <c r="AN132" s="1" t="e">
        <f t="shared" si="94"/>
        <v>#N/A</v>
      </c>
      <c r="AO132" s="1" t="e">
        <f t="shared" si="95"/>
        <v>#N/A</v>
      </c>
      <c r="AP132" s="1" t="e">
        <f t="shared" si="96"/>
        <v>#N/A</v>
      </c>
      <c r="AQ132" s="1" t="e">
        <f t="shared" si="97"/>
        <v>#N/A</v>
      </c>
      <c r="AS132" s="1" t="e">
        <f>IF(Table1[[#This Row],[Type (TX, RX, TRX, Oscillator)]]="Relay",Table1[[#This Row],[Frequency (GHz)]],#N/A)</f>
        <v>#N/A</v>
      </c>
      <c r="AT132" s="30" t="e">
        <f>IF(Table1[[#This Row],[Type (TX, RX, TRX, Oscillator)]]="Relay",DATE(Table1[[#This Row],[Year ]],Table1[[#This Row],[Month]],1),#N/A)</f>
        <v>#N/A</v>
      </c>
      <c r="AU132" s="1" t="e">
        <f>IF(Table1[[#This Row],[Type (TX, RX, TRX, Oscillator)]]="Relay",Table1[[#This Row],[Total Number of Elements (TX + RX)]],#N/A)</f>
        <v>#N/A</v>
      </c>
      <c r="AV132" s="1" t="e">
        <f t="shared" si="98"/>
        <v>#N/A</v>
      </c>
      <c r="AW132" s="1" t="e">
        <f t="shared" si="99"/>
        <v>#N/A</v>
      </c>
      <c r="AX132" s="1" t="e">
        <f t="shared" si="100"/>
        <v>#N/A</v>
      </c>
      <c r="AY132" s="1" t="e">
        <f t="shared" si="101"/>
        <v>#N/A</v>
      </c>
      <c r="AZ132" s="1" t="e">
        <f t="shared" si="102"/>
        <v>#N/A</v>
      </c>
      <c r="BA132" s="1" t="e">
        <f t="shared" si="103"/>
        <v>#N/A</v>
      </c>
      <c r="BB132" s="1" t="e">
        <f t="shared" si="104"/>
        <v>#N/A</v>
      </c>
    </row>
    <row r="133" spans="1:54" x14ac:dyDescent="0.2">
      <c r="A133" s="1" t="e">
        <f>IF(OR(Table1[[#This Row],[Type (TX, RX, TRX, Oscillator)]]="TX", Table1[[#This Row],[Type (TX, RX, TRX, Oscillator)]]="TX FE"),Table1[[#This Row],[Frequency (GHz)]],#N/A)</f>
        <v>#N/A</v>
      </c>
      <c r="B133" s="30" t="e">
        <f>IF(OR(Table1[[#This Row],[Type (TX, RX, TRX, Oscillator)]]="TX", Table1[[#This Row],[Type (TX, RX, TRX, Oscillator)]]="TX FE"),DATE(Table1[[#This Row],[Year ]],Table1[[#This Row],[Month]],1),#N/A)</f>
        <v>#N/A</v>
      </c>
      <c r="C133" s="1" t="e">
        <f>IF(OR(Table1[[#This Row],[Type (TX, RX, TRX, Oscillator)]]="TX",Table1[[#This Row],[Type (TX, RX, TRX, Oscillator)]]="TX FE"),Table1[[#This Row],[Total Number of Elements (TX + RX)]],#N/A)</f>
        <v>#N/A</v>
      </c>
      <c r="D133" s="1" t="e">
        <f t="shared" si="70"/>
        <v>#N/A</v>
      </c>
      <c r="E133" s="1" t="e">
        <f t="shared" si="71"/>
        <v>#N/A</v>
      </c>
      <c r="F133" s="1" t="e">
        <f t="shared" si="72"/>
        <v>#N/A</v>
      </c>
      <c r="G133" s="1" t="e">
        <f t="shared" si="73"/>
        <v>#N/A</v>
      </c>
      <c r="H133" s="1" t="e">
        <f t="shared" si="74"/>
        <v>#N/A</v>
      </c>
      <c r="I133" s="1" t="e">
        <f t="shared" si="75"/>
        <v>#N/A</v>
      </c>
      <c r="J133" s="1" t="e">
        <f t="shared" si="76"/>
        <v>#N/A</v>
      </c>
      <c r="L133" s="1" t="e">
        <f>IF(OR(Table1[[#This Row],[Type (TX, RX, TRX, Oscillator)]]="RX", Table1[[#This Row],[Type (TX, RX, TRX, Oscillator)]]="RX FE"),Table1[[#This Row],[Frequency (GHz)]],#N/A)</f>
        <v>#N/A</v>
      </c>
      <c r="M133" s="30" t="e">
        <f>IF(OR(Table1[[#This Row],[Type (TX, RX, TRX, Oscillator)]]="RX", Table1[[#This Row],[Type (TX, RX, TRX, Oscillator)]]="RX FE"),DATE(Table1[[#This Row],[Year ]],Table1[[#This Row],[Month]],1),#N/A)</f>
        <v>#N/A</v>
      </c>
      <c r="N133" s="1" t="e">
        <f>IF(OR(Table1[[#This Row],[Type (TX, RX, TRX, Oscillator)]]="RX", Table1[[#This Row],[Type (TX, RX, TRX, Oscillator)]]="RX FE"),Table1[[#This Row],[Total Number of Elements (TX + RX)]],#N/A)</f>
        <v>#N/A</v>
      </c>
      <c r="O133" s="1" t="e">
        <f t="shared" si="77"/>
        <v>#N/A</v>
      </c>
      <c r="P133" s="1" t="e">
        <f t="shared" si="78"/>
        <v>#N/A</v>
      </c>
      <c r="Q133" s="1" t="e">
        <f t="shared" si="79"/>
        <v>#N/A</v>
      </c>
      <c r="R133" s="1" t="e">
        <f t="shared" si="80"/>
        <v>#N/A</v>
      </c>
      <c r="S133" s="1" t="e">
        <f t="shared" si="81"/>
        <v>#N/A</v>
      </c>
      <c r="T133" s="1" t="e">
        <f t="shared" si="82"/>
        <v>#N/A</v>
      </c>
      <c r="U133" s="1" t="e">
        <f t="shared" si="83"/>
        <v>#N/A</v>
      </c>
      <c r="W133" s="1" t="e">
        <f>IF(OR(Table1[[#This Row],[Type (TX, RX, TRX, Oscillator)]]="TRX",Table1[[#This Row],[Type (TX, RX, TRX, Oscillator)]]="TRX FE"),Table1[[#This Row],[Frequency (GHz)]],#N/A)</f>
        <v>#N/A</v>
      </c>
      <c r="X133" s="30" t="e">
        <f>IF(OR(Table1[[#This Row],[Type (TX, RX, TRX, Oscillator)]]="TRX", Table1[[#This Row],[Type (TX, RX, TRX, Oscillator)]]="TRX FE"),DATE(Table1[[#This Row],[Year ]],Table1[[#This Row],[Month]],1),#N/A)</f>
        <v>#N/A</v>
      </c>
      <c r="Y133" s="1" t="e">
        <f>IF(OR(Table1[[#This Row],[Type (TX, RX, TRX, Oscillator)]]="TRX", Table1[[#This Row],[Type (TX, RX, TRX, Oscillator)]]="TRX FE"),Table1[[#This Row],[Total Number of Elements (TX + RX)]],#N/A)</f>
        <v>#N/A</v>
      </c>
      <c r="Z133" s="1" t="e">
        <f t="shared" si="84"/>
        <v>#N/A</v>
      </c>
      <c r="AA133" s="1" t="e">
        <f t="shared" si="85"/>
        <v>#N/A</v>
      </c>
      <c r="AB133" s="1" t="e">
        <f t="shared" si="86"/>
        <v>#N/A</v>
      </c>
      <c r="AC133" s="1" t="e">
        <f t="shared" si="87"/>
        <v>#N/A</v>
      </c>
      <c r="AD133" s="1" t="e">
        <f t="shared" si="88"/>
        <v>#N/A</v>
      </c>
      <c r="AE133" s="1" t="e">
        <f t="shared" si="89"/>
        <v>#N/A</v>
      </c>
      <c r="AF133" s="1" t="e">
        <f t="shared" si="90"/>
        <v>#N/A</v>
      </c>
      <c r="AH133" s="1">
        <f>IF(Table1[[#This Row],[Type (TX, RX, TRX, Oscillator)]]="Oscillator",Table1[[#This Row],[Frequency (GHz)]],#N/A)</f>
        <v>675</v>
      </c>
      <c r="AI133" s="30">
        <f>IF(Table1[[#This Row],[Type (TX, RX, TRX, Oscillator)]]="Oscillator",DATE(Table1[[#This Row],[Year ]],Table1[[#This Row],[Month]],1),#N/A)</f>
        <v>44958</v>
      </c>
      <c r="AJ133" s="1">
        <f>IF(Table1[[#This Row],[Type (TX, RX, TRX, Oscillator)]]="Oscillator",Table1[[#This Row],[Total Number of Elements (TX + RX)]],#N/A)</f>
        <v>144</v>
      </c>
      <c r="AK133" s="1" t="e">
        <f t="shared" si="91"/>
        <v>#N/A</v>
      </c>
      <c r="AL133" s="1" t="e">
        <f t="shared" si="92"/>
        <v>#N/A</v>
      </c>
      <c r="AM133" s="1" t="e">
        <f t="shared" si="93"/>
        <v>#N/A</v>
      </c>
      <c r="AN133" s="1" t="e">
        <f t="shared" si="94"/>
        <v>#N/A</v>
      </c>
      <c r="AO133" s="1" t="e">
        <f t="shared" si="95"/>
        <v>#N/A</v>
      </c>
      <c r="AP133" s="1" t="e">
        <f t="shared" si="96"/>
        <v>#N/A</v>
      </c>
      <c r="AQ133" s="1">
        <f t="shared" si="97"/>
        <v>144</v>
      </c>
      <c r="AS133" s="1" t="e">
        <f>IF(Table1[[#This Row],[Type (TX, RX, TRX, Oscillator)]]="Relay",Table1[[#This Row],[Frequency (GHz)]],#N/A)</f>
        <v>#N/A</v>
      </c>
      <c r="AT133" s="30" t="e">
        <f>IF(Table1[[#This Row],[Type (TX, RX, TRX, Oscillator)]]="Relay",DATE(Table1[[#This Row],[Year ]],Table1[[#This Row],[Month]],1),#N/A)</f>
        <v>#N/A</v>
      </c>
      <c r="AU133" s="1" t="e">
        <f>IF(Table1[[#This Row],[Type (TX, RX, TRX, Oscillator)]]="Relay",Table1[[#This Row],[Total Number of Elements (TX + RX)]],#N/A)</f>
        <v>#N/A</v>
      </c>
      <c r="AV133" s="1" t="e">
        <f t="shared" si="98"/>
        <v>#N/A</v>
      </c>
      <c r="AW133" s="1" t="e">
        <f t="shared" si="99"/>
        <v>#N/A</v>
      </c>
      <c r="AX133" s="1" t="e">
        <f t="shared" si="100"/>
        <v>#N/A</v>
      </c>
      <c r="AY133" s="1" t="e">
        <f t="shared" si="101"/>
        <v>#N/A</v>
      </c>
      <c r="AZ133" s="1" t="e">
        <f t="shared" si="102"/>
        <v>#N/A</v>
      </c>
      <c r="BA133" s="1" t="e">
        <f t="shared" si="103"/>
        <v>#N/A</v>
      </c>
      <c r="BB133" s="1" t="e">
        <f t="shared" si="104"/>
        <v>#N/A</v>
      </c>
    </row>
    <row r="134" spans="1:54" x14ac:dyDescent="0.2">
      <c r="A134" s="1" t="e">
        <f>IF(OR(Table1[[#This Row],[Type (TX, RX, TRX, Oscillator)]]="TX", Table1[[#This Row],[Type (TX, RX, TRX, Oscillator)]]="TX FE"),Table1[[#This Row],[Frequency (GHz)]],#N/A)</f>
        <v>#N/A</v>
      </c>
      <c r="B134" s="30" t="e">
        <f>IF(OR(Table1[[#This Row],[Type (TX, RX, TRX, Oscillator)]]="TX", Table1[[#This Row],[Type (TX, RX, TRX, Oscillator)]]="TX FE"),DATE(Table1[[#This Row],[Year ]],Table1[[#This Row],[Month]],1),#N/A)</f>
        <v>#N/A</v>
      </c>
      <c r="C134" s="1" t="e">
        <f>IF(OR(Table1[[#This Row],[Type (TX, RX, TRX, Oscillator)]]="TX",Table1[[#This Row],[Type (TX, RX, TRX, Oscillator)]]="TX FE"),Table1[[#This Row],[Total Number of Elements (TX + RX)]],#N/A)</f>
        <v>#N/A</v>
      </c>
      <c r="D134" s="1" t="e">
        <f t="shared" si="70"/>
        <v>#N/A</v>
      </c>
      <c r="E134" s="1" t="e">
        <f t="shared" si="71"/>
        <v>#N/A</v>
      </c>
      <c r="F134" s="1" t="e">
        <f t="shared" si="72"/>
        <v>#N/A</v>
      </c>
      <c r="G134" s="1" t="e">
        <f t="shared" si="73"/>
        <v>#N/A</v>
      </c>
      <c r="H134" s="1" t="e">
        <f t="shared" si="74"/>
        <v>#N/A</v>
      </c>
      <c r="I134" s="1" t="e">
        <f t="shared" si="75"/>
        <v>#N/A</v>
      </c>
      <c r="J134" s="1" t="e">
        <f t="shared" si="76"/>
        <v>#N/A</v>
      </c>
      <c r="L134" s="1">
        <f>IF(OR(Table1[[#This Row],[Type (TX, RX, TRX, Oscillator)]]="RX", Table1[[#This Row],[Type (TX, RX, TRX, Oscillator)]]="RX FE"),Table1[[#This Row],[Frequency (GHz)]],#N/A)</f>
        <v>140</v>
      </c>
      <c r="M134" s="30">
        <f>IF(OR(Table1[[#This Row],[Type (TX, RX, TRX, Oscillator)]]="RX", Table1[[#This Row],[Type (TX, RX, TRX, Oscillator)]]="RX FE"),DATE(Table1[[#This Row],[Year ]],Table1[[#This Row],[Month]],1),#N/A)</f>
        <v>44958</v>
      </c>
      <c r="N134" s="1">
        <f>IF(OR(Table1[[#This Row],[Type (TX, RX, TRX, Oscillator)]]="RX", Table1[[#This Row],[Type (TX, RX, TRX, Oscillator)]]="RX FE"),Table1[[#This Row],[Total Number of Elements (TX + RX)]],#N/A)</f>
        <v>1</v>
      </c>
      <c r="O134" s="1" t="e">
        <f t="shared" si="77"/>
        <v>#N/A</v>
      </c>
      <c r="P134" s="1" t="e">
        <f t="shared" si="78"/>
        <v>#N/A</v>
      </c>
      <c r="Q134" s="1" t="e">
        <f t="shared" si="79"/>
        <v>#N/A</v>
      </c>
      <c r="R134" s="1" t="e">
        <f t="shared" si="80"/>
        <v>#N/A</v>
      </c>
      <c r="S134" s="1">
        <f t="shared" si="81"/>
        <v>1</v>
      </c>
      <c r="T134" s="1" t="e">
        <f t="shared" si="82"/>
        <v>#N/A</v>
      </c>
      <c r="U134" s="1" t="e">
        <f t="shared" si="83"/>
        <v>#N/A</v>
      </c>
      <c r="W134" s="1" t="e">
        <f>IF(OR(Table1[[#This Row],[Type (TX, RX, TRX, Oscillator)]]="TRX",Table1[[#This Row],[Type (TX, RX, TRX, Oscillator)]]="TRX FE"),Table1[[#This Row],[Frequency (GHz)]],#N/A)</f>
        <v>#N/A</v>
      </c>
      <c r="X134" s="30" t="e">
        <f>IF(OR(Table1[[#This Row],[Type (TX, RX, TRX, Oscillator)]]="TRX", Table1[[#This Row],[Type (TX, RX, TRX, Oscillator)]]="TRX FE"),DATE(Table1[[#This Row],[Year ]],Table1[[#This Row],[Month]],1),#N/A)</f>
        <v>#N/A</v>
      </c>
      <c r="Y134" s="1" t="e">
        <f>IF(OR(Table1[[#This Row],[Type (TX, RX, TRX, Oscillator)]]="TRX", Table1[[#This Row],[Type (TX, RX, TRX, Oscillator)]]="TRX FE"),Table1[[#This Row],[Total Number of Elements (TX + RX)]],#N/A)</f>
        <v>#N/A</v>
      </c>
      <c r="Z134" s="1" t="e">
        <f t="shared" si="84"/>
        <v>#N/A</v>
      </c>
      <c r="AA134" s="1" t="e">
        <f t="shared" si="85"/>
        <v>#N/A</v>
      </c>
      <c r="AB134" s="1" t="e">
        <f t="shared" si="86"/>
        <v>#N/A</v>
      </c>
      <c r="AC134" s="1" t="e">
        <f t="shared" si="87"/>
        <v>#N/A</v>
      </c>
      <c r="AD134" s="1" t="e">
        <f t="shared" si="88"/>
        <v>#N/A</v>
      </c>
      <c r="AE134" s="1" t="e">
        <f t="shared" si="89"/>
        <v>#N/A</v>
      </c>
      <c r="AF134" s="1" t="e">
        <f t="shared" si="90"/>
        <v>#N/A</v>
      </c>
      <c r="AH134" s="1" t="e">
        <f>IF(Table1[[#This Row],[Type (TX, RX, TRX, Oscillator)]]="Oscillator",Table1[[#This Row],[Frequency (GHz)]],#N/A)</f>
        <v>#N/A</v>
      </c>
      <c r="AI134" s="30" t="e">
        <f>IF(Table1[[#This Row],[Type (TX, RX, TRX, Oscillator)]]="Oscillator",DATE(Table1[[#This Row],[Year ]],Table1[[#This Row],[Month]],1),#N/A)</f>
        <v>#N/A</v>
      </c>
      <c r="AJ134" s="1" t="e">
        <f>IF(Table1[[#This Row],[Type (TX, RX, TRX, Oscillator)]]="Oscillator",Table1[[#This Row],[Total Number of Elements (TX + RX)]],#N/A)</f>
        <v>#N/A</v>
      </c>
      <c r="AK134" s="1" t="e">
        <f t="shared" si="91"/>
        <v>#N/A</v>
      </c>
      <c r="AL134" s="1" t="e">
        <f t="shared" si="92"/>
        <v>#N/A</v>
      </c>
      <c r="AM134" s="1" t="e">
        <f t="shared" si="93"/>
        <v>#N/A</v>
      </c>
      <c r="AN134" s="1" t="e">
        <f t="shared" si="94"/>
        <v>#N/A</v>
      </c>
      <c r="AO134" s="1" t="e">
        <f t="shared" si="95"/>
        <v>#N/A</v>
      </c>
      <c r="AP134" s="1" t="e">
        <f t="shared" si="96"/>
        <v>#N/A</v>
      </c>
      <c r="AQ134" s="1" t="e">
        <f t="shared" si="97"/>
        <v>#N/A</v>
      </c>
      <c r="AS134" s="1" t="e">
        <f>IF(Table1[[#This Row],[Type (TX, RX, TRX, Oscillator)]]="Relay",Table1[[#This Row],[Frequency (GHz)]],#N/A)</f>
        <v>#N/A</v>
      </c>
      <c r="AT134" s="30" t="e">
        <f>IF(Table1[[#This Row],[Type (TX, RX, TRX, Oscillator)]]="Relay",DATE(Table1[[#This Row],[Year ]],Table1[[#This Row],[Month]],1),#N/A)</f>
        <v>#N/A</v>
      </c>
      <c r="AU134" s="1" t="e">
        <f>IF(Table1[[#This Row],[Type (TX, RX, TRX, Oscillator)]]="Relay",Table1[[#This Row],[Total Number of Elements (TX + RX)]],#N/A)</f>
        <v>#N/A</v>
      </c>
      <c r="AV134" s="1" t="e">
        <f t="shared" si="98"/>
        <v>#N/A</v>
      </c>
      <c r="AW134" s="1" t="e">
        <f t="shared" si="99"/>
        <v>#N/A</v>
      </c>
      <c r="AX134" s="1" t="e">
        <f t="shared" si="100"/>
        <v>#N/A</v>
      </c>
      <c r="AY134" s="1" t="e">
        <f t="shared" si="101"/>
        <v>#N/A</v>
      </c>
      <c r="AZ134" s="1" t="e">
        <f t="shared" si="102"/>
        <v>#N/A</v>
      </c>
      <c r="BA134" s="1" t="e">
        <f t="shared" si="103"/>
        <v>#N/A</v>
      </c>
      <c r="BB134" s="1" t="e">
        <f t="shared" si="104"/>
        <v>#N/A</v>
      </c>
    </row>
    <row r="135" spans="1:54" x14ac:dyDescent="0.2">
      <c r="A135" s="1" t="e">
        <f>IF(OR(Table1[[#This Row],[Type (TX, RX, TRX, Oscillator)]]="TX", Table1[[#This Row],[Type (TX, RX, TRX, Oscillator)]]="TX FE"),Table1[[#This Row],[Frequency (GHz)]],#N/A)</f>
        <v>#N/A</v>
      </c>
      <c r="B135" s="30" t="e">
        <f>IF(OR(Table1[[#This Row],[Type (TX, RX, TRX, Oscillator)]]="TX", Table1[[#This Row],[Type (TX, RX, TRX, Oscillator)]]="TX FE"),DATE(Table1[[#This Row],[Year ]],Table1[[#This Row],[Month]],1),#N/A)</f>
        <v>#N/A</v>
      </c>
      <c r="C135" s="1" t="e">
        <f>IF(OR(Table1[[#This Row],[Type (TX, RX, TRX, Oscillator)]]="TX",Table1[[#This Row],[Type (TX, RX, TRX, Oscillator)]]="TX FE"),Table1[[#This Row],[Total Number of Elements (TX + RX)]],#N/A)</f>
        <v>#N/A</v>
      </c>
      <c r="D135" s="1" t="e">
        <f t="shared" si="70"/>
        <v>#N/A</v>
      </c>
      <c r="E135" s="1" t="e">
        <f t="shared" si="71"/>
        <v>#N/A</v>
      </c>
      <c r="F135" s="1" t="e">
        <f t="shared" si="72"/>
        <v>#N/A</v>
      </c>
      <c r="G135" s="1" t="e">
        <f t="shared" si="73"/>
        <v>#N/A</v>
      </c>
      <c r="H135" s="1" t="e">
        <f t="shared" si="74"/>
        <v>#N/A</v>
      </c>
      <c r="I135" s="1" t="e">
        <f t="shared" si="75"/>
        <v>#N/A</v>
      </c>
      <c r="J135" s="1" t="e">
        <f t="shared" si="76"/>
        <v>#N/A</v>
      </c>
      <c r="L135" s="1">
        <f>IF(OR(Table1[[#This Row],[Type (TX, RX, TRX, Oscillator)]]="RX", Table1[[#This Row],[Type (TX, RX, TRX, Oscillator)]]="RX FE"),Table1[[#This Row],[Frequency (GHz)]],#N/A)</f>
        <v>28</v>
      </c>
      <c r="M135" s="30">
        <f>IF(OR(Table1[[#This Row],[Type (TX, RX, TRX, Oscillator)]]="RX", Table1[[#This Row],[Type (TX, RX, TRX, Oscillator)]]="RX FE"),DATE(Table1[[#This Row],[Year ]],Table1[[#This Row],[Month]],1),#N/A)</f>
        <v>44958</v>
      </c>
      <c r="N135" s="1">
        <f>IF(OR(Table1[[#This Row],[Type (TX, RX, TRX, Oscillator)]]="RX", Table1[[#This Row],[Type (TX, RX, TRX, Oscillator)]]="RX FE"),Table1[[#This Row],[Total Number of Elements (TX + RX)]],#N/A)</f>
        <v>256</v>
      </c>
      <c r="O135" s="1" t="e">
        <f t="shared" si="77"/>
        <v>#N/A</v>
      </c>
      <c r="P135" s="1">
        <f t="shared" si="78"/>
        <v>256</v>
      </c>
      <c r="Q135" s="1" t="e">
        <f t="shared" si="79"/>
        <v>#N/A</v>
      </c>
      <c r="R135" s="1" t="e">
        <f t="shared" si="80"/>
        <v>#N/A</v>
      </c>
      <c r="S135" s="1" t="e">
        <f t="shared" si="81"/>
        <v>#N/A</v>
      </c>
      <c r="T135" s="1" t="e">
        <f t="shared" si="82"/>
        <v>#N/A</v>
      </c>
      <c r="U135" s="1" t="e">
        <f t="shared" si="83"/>
        <v>#N/A</v>
      </c>
      <c r="W135" s="1" t="e">
        <f>IF(OR(Table1[[#This Row],[Type (TX, RX, TRX, Oscillator)]]="TRX",Table1[[#This Row],[Type (TX, RX, TRX, Oscillator)]]="TRX FE"),Table1[[#This Row],[Frequency (GHz)]],#N/A)</f>
        <v>#N/A</v>
      </c>
      <c r="X135" s="30" t="e">
        <f>IF(OR(Table1[[#This Row],[Type (TX, RX, TRX, Oscillator)]]="TRX", Table1[[#This Row],[Type (TX, RX, TRX, Oscillator)]]="TRX FE"),DATE(Table1[[#This Row],[Year ]],Table1[[#This Row],[Month]],1),#N/A)</f>
        <v>#N/A</v>
      </c>
      <c r="Y135" s="1" t="e">
        <f>IF(OR(Table1[[#This Row],[Type (TX, RX, TRX, Oscillator)]]="TRX", Table1[[#This Row],[Type (TX, RX, TRX, Oscillator)]]="TRX FE"),Table1[[#This Row],[Total Number of Elements (TX + RX)]],#N/A)</f>
        <v>#N/A</v>
      </c>
      <c r="Z135" s="1" t="e">
        <f t="shared" si="84"/>
        <v>#N/A</v>
      </c>
      <c r="AA135" s="1" t="e">
        <f t="shared" si="85"/>
        <v>#N/A</v>
      </c>
      <c r="AB135" s="1" t="e">
        <f t="shared" si="86"/>
        <v>#N/A</v>
      </c>
      <c r="AC135" s="1" t="e">
        <f t="shared" si="87"/>
        <v>#N/A</v>
      </c>
      <c r="AD135" s="1" t="e">
        <f t="shared" si="88"/>
        <v>#N/A</v>
      </c>
      <c r="AE135" s="1" t="e">
        <f t="shared" si="89"/>
        <v>#N/A</v>
      </c>
      <c r="AF135" s="1" t="e">
        <f t="shared" si="90"/>
        <v>#N/A</v>
      </c>
      <c r="AH135" s="1" t="e">
        <f>IF(Table1[[#This Row],[Type (TX, RX, TRX, Oscillator)]]="Oscillator",Table1[[#This Row],[Frequency (GHz)]],#N/A)</f>
        <v>#N/A</v>
      </c>
      <c r="AI135" s="30" t="e">
        <f>IF(Table1[[#This Row],[Type (TX, RX, TRX, Oscillator)]]="Oscillator",DATE(Table1[[#This Row],[Year ]],Table1[[#This Row],[Month]],1),#N/A)</f>
        <v>#N/A</v>
      </c>
      <c r="AJ135" s="1" t="e">
        <f>IF(Table1[[#This Row],[Type (TX, RX, TRX, Oscillator)]]="Oscillator",Table1[[#This Row],[Total Number of Elements (TX + RX)]],#N/A)</f>
        <v>#N/A</v>
      </c>
      <c r="AK135" s="1" t="e">
        <f t="shared" si="91"/>
        <v>#N/A</v>
      </c>
      <c r="AL135" s="1" t="e">
        <f t="shared" si="92"/>
        <v>#N/A</v>
      </c>
      <c r="AM135" s="1" t="e">
        <f t="shared" si="93"/>
        <v>#N/A</v>
      </c>
      <c r="AN135" s="1" t="e">
        <f t="shared" si="94"/>
        <v>#N/A</v>
      </c>
      <c r="AO135" s="1" t="e">
        <f t="shared" si="95"/>
        <v>#N/A</v>
      </c>
      <c r="AP135" s="1" t="e">
        <f t="shared" si="96"/>
        <v>#N/A</v>
      </c>
      <c r="AQ135" s="1" t="e">
        <f t="shared" si="97"/>
        <v>#N/A</v>
      </c>
      <c r="AS135" s="1" t="e">
        <f>IF(Table1[[#This Row],[Type (TX, RX, TRX, Oscillator)]]="Relay",Table1[[#This Row],[Frequency (GHz)]],#N/A)</f>
        <v>#N/A</v>
      </c>
      <c r="AT135" s="30" t="e">
        <f>IF(Table1[[#This Row],[Type (TX, RX, TRX, Oscillator)]]="Relay",DATE(Table1[[#This Row],[Year ]],Table1[[#This Row],[Month]],1),#N/A)</f>
        <v>#N/A</v>
      </c>
      <c r="AU135" s="1" t="e">
        <f>IF(Table1[[#This Row],[Type (TX, RX, TRX, Oscillator)]]="Relay",Table1[[#This Row],[Total Number of Elements (TX + RX)]],#N/A)</f>
        <v>#N/A</v>
      </c>
      <c r="AV135" s="1" t="e">
        <f t="shared" si="98"/>
        <v>#N/A</v>
      </c>
      <c r="AW135" s="1" t="e">
        <f t="shared" si="99"/>
        <v>#N/A</v>
      </c>
      <c r="AX135" s="1" t="e">
        <f t="shared" si="100"/>
        <v>#N/A</v>
      </c>
      <c r="AY135" s="1" t="e">
        <f t="shared" si="101"/>
        <v>#N/A</v>
      </c>
      <c r="AZ135" s="1" t="e">
        <f t="shared" si="102"/>
        <v>#N/A</v>
      </c>
      <c r="BA135" s="1" t="e">
        <f t="shared" si="103"/>
        <v>#N/A</v>
      </c>
      <c r="BB135" s="1" t="e">
        <f t="shared" si="104"/>
        <v>#N/A</v>
      </c>
    </row>
    <row r="136" spans="1:54" x14ac:dyDescent="0.2">
      <c r="A136" s="1" t="e">
        <f>IF(OR(Table1[[#This Row],[Type (TX, RX, TRX, Oscillator)]]="TX", Table1[[#This Row],[Type (TX, RX, TRX, Oscillator)]]="TX FE"),Table1[[#This Row],[Frequency (GHz)]],#N/A)</f>
        <v>#N/A</v>
      </c>
      <c r="B136" s="30" t="e">
        <f>IF(OR(Table1[[#This Row],[Type (TX, RX, TRX, Oscillator)]]="TX", Table1[[#This Row],[Type (TX, RX, TRX, Oscillator)]]="TX FE"),DATE(Table1[[#This Row],[Year ]],Table1[[#This Row],[Month]],1),#N/A)</f>
        <v>#N/A</v>
      </c>
      <c r="C136" s="1" t="e">
        <f>IF(OR(Table1[[#This Row],[Type (TX, RX, TRX, Oscillator)]]="TX",Table1[[#This Row],[Type (TX, RX, TRX, Oscillator)]]="TX FE"),Table1[[#This Row],[Total Number of Elements (TX + RX)]],#N/A)</f>
        <v>#N/A</v>
      </c>
      <c r="D136" s="1" t="e">
        <f t="shared" si="70"/>
        <v>#N/A</v>
      </c>
      <c r="E136" s="1" t="e">
        <f t="shared" si="71"/>
        <v>#N/A</v>
      </c>
      <c r="F136" s="1" t="e">
        <f t="shared" si="72"/>
        <v>#N/A</v>
      </c>
      <c r="G136" s="1" t="e">
        <f t="shared" si="73"/>
        <v>#N/A</v>
      </c>
      <c r="H136" s="1" t="e">
        <f t="shared" si="74"/>
        <v>#N/A</v>
      </c>
      <c r="I136" s="1" t="e">
        <f t="shared" si="75"/>
        <v>#N/A</v>
      </c>
      <c r="J136" s="1" t="e">
        <f t="shared" si="76"/>
        <v>#N/A</v>
      </c>
      <c r="L136" s="1" t="e">
        <f>IF(OR(Table1[[#This Row],[Type (TX, RX, TRX, Oscillator)]]="RX", Table1[[#This Row],[Type (TX, RX, TRX, Oscillator)]]="RX FE"),Table1[[#This Row],[Frequency (GHz)]],#N/A)</f>
        <v>#N/A</v>
      </c>
      <c r="M136" s="30" t="e">
        <f>IF(OR(Table1[[#This Row],[Type (TX, RX, TRX, Oscillator)]]="RX", Table1[[#This Row],[Type (TX, RX, TRX, Oscillator)]]="RX FE"),DATE(Table1[[#This Row],[Year ]],Table1[[#This Row],[Month]],1),#N/A)</f>
        <v>#N/A</v>
      </c>
      <c r="N136" s="1" t="e">
        <f>IF(OR(Table1[[#This Row],[Type (TX, RX, TRX, Oscillator)]]="RX", Table1[[#This Row],[Type (TX, RX, TRX, Oscillator)]]="RX FE"),Table1[[#This Row],[Total Number of Elements (TX + RX)]],#N/A)</f>
        <v>#N/A</v>
      </c>
      <c r="O136" s="1" t="e">
        <f t="shared" si="77"/>
        <v>#N/A</v>
      </c>
      <c r="P136" s="1" t="e">
        <f t="shared" si="78"/>
        <v>#N/A</v>
      </c>
      <c r="Q136" s="1" t="e">
        <f t="shared" si="79"/>
        <v>#N/A</v>
      </c>
      <c r="R136" s="1" t="e">
        <f t="shared" si="80"/>
        <v>#N/A</v>
      </c>
      <c r="S136" s="1" t="e">
        <f t="shared" si="81"/>
        <v>#N/A</v>
      </c>
      <c r="T136" s="1" t="e">
        <f t="shared" si="82"/>
        <v>#N/A</v>
      </c>
      <c r="U136" s="1" t="e">
        <f t="shared" si="83"/>
        <v>#N/A</v>
      </c>
      <c r="W136" s="1" t="e">
        <f>IF(OR(Table1[[#This Row],[Type (TX, RX, TRX, Oscillator)]]="TRX",Table1[[#This Row],[Type (TX, RX, TRX, Oscillator)]]="TRX FE"),Table1[[#This Row],[Frequency (GHz)]],#N/A)</f>
        <v>#N/A</v>
      </c>
      <c r="X136" s="30" t="e">
        <f>IF(OR(Table1[[#This Row],[Type (TX, RX, TRX, Oscillator)]]="TRX", Table1[[#This Row],[Type (TX, RX, TRX, Oscillator)]]="TRX FE"),DATE(Table1[[#This Row],[Year ]],Table1[[#This Row],[Month]],1),#N/A)</f>
        <v>#N/A</v>
      </c>
      <c r="Y136" s="1" t="e">
        <f>IF(OR(Table1[[#This Row],[Type (TX, RX, TRX, Oscillator)]]="TRX", Table1[[#This Row],[Type (TX, RX, TRX, Oscillator)]]="TRX FE"),Table1[[#This Row],[Total Number of Elements (TX + RX)]],#N/A)</f>
        <v>#N/A</v>
      </c>
      <c r="Z136" s="1" t="e">
        <f t="shared" si="84"/>
        <v>#N/A</v>
      </c>
      <c r="AA136" s="1" t="e">
        <f t="shared" si="85"/>
        <v>#N/A</v>
      </c>
      <c r="AB136" s="1" t="e">
        <f t="shared" si="86"/>
        <v>#N/A</v>
      </c>
      <c r="AC136" s="1" t="e">
        <f t="shared" si="87"/>
        <v>#N/A</v>
      </c>
      <c r="AD136" s="1" t="e">
        <f t="shared" si="88"/>
        <v>#N/A</v>
      </c>
      <c r="AE136" s="1" t="e">
        <f t="shared" si="89"/>
        <v>#N/A</v>
      </c>
      <c r="AF136" s="1" t="e">
        <f t="shared" si="90"/>
        <v>#N/A</v>
      </c>
      <c r="AH136" s="1">
        <f>IF(Table1[[#This Row],[Type (TX, RX, TRX, Oscillator)]]="Oscillator",Table1[[#This Row],[Frequency (GHz)]],#N/A)</f>
        <v>607</v>
      </c>
      <c r="AI136" s="30">
        <f>IF(Table1[[#This Row],[Type (TX, RX, TRX, Oscillator)]]="Oscillator",DATE(Table1[[#This Row],[Year ]],Table1[[#This Row],[Month]],1),#N/A)</f>
        <v>44958</v>
      </c>
      <c r="AJ136" s="1">
        <f>IF(Table1[[#This Row],[Type (TX, RX, TRX, Oscillator)]]="Oscillator",Table1[[#This Row],[Total Number of Elements (TX + RX)]],#N/A)</f>
        <v>16</v>
      </c>
      <c r="AK136" s="1" t="e">
        <f t="shared" si="91"/>
        <v>#N/A</v>
      </c>
      <c r="AL136" s="1" t="e">
        <f t="shared" si="92"/>
        <v>#N/A</v>
      </c>
      <c r="AM136" s="1" t="e">
        <f t="shared" si="93"/>
        <v>#N/A</v>
      </c>
      <c r="AN136" s="1" t="e">
        <f t="shared" si="94"/>
        <v>#N/A</v>
      </c>
      <c r="AO136" s="1" t="e">
        <f t="shared" si="95"/>
        <v>#N/A</v>
      </c>
      <c r="AP136" s="1" t="e">
        <f t="shared" si="96"/>
        <v>#N/A</v>
      </c>
      <c r="AQ136" s="1">
        <f t="shared" si="97"/>
        <v>16</v>
      </c>
      <c r="AS136" s="1" t="e">
        <f>IF(Table1[[#This Row],[Type (TX, RX, TRX, Oscillator)]]="Relay",Table1[[#This Row],[Frequency (GHz)]],#N/A)</f>
        <v>#N/A</v>
      </c>
      <c r="AT136" s="30" t="e">
        <f>IF(Table1[[#This Row],[Type (TX, RX, TRX, Oscillator)]]="Relay",DATE(Table1[[#This Row],[Year ]],Table1[[#This Row],[Month]],1),#N/A)</f>
        <v>#N/A</v>
      </c>
      <c r="AU136" s="1" t="e">
        <f>IF(Table1[[#This Row],[Type (TX, RX, TRX, Oscillator)]]="Relay",Table1[[#This Row],[Total Number of Elements (TX + RX)]],#N/A)</f>
        <v>#N/A</v>
      </c>
      <c r="AV136" s="1" t="e">
        <f t="shared" si="98"/>
        <v>#N/A</v>
      </c>
      <c r="AW136" s="1" t="e">
        <f t="shared" si="99"/>
        <v>#N/A</v>
      </c>
      <c r="AX136" s="1" t="e">
        <f t="shared" si="100"/>
        <v>#N/A</v>
      </c>
      <c r="AY136" s="1" t="e">
        <f t="shared" si="101"/>
        <v>#N/A</v>
      </c>
      <c r="AZ136" s="1" t="e">
        <f t="shared" si="102"/>
        <v>#N/A</v>
      </c>
      <c r="BA136" s="1" t="e">
        <f t="shared" si="103"/>
        <v>#N/A</v>
      </c>
      <c r="BB136" s="1" t="e">
        <f t="shared" si="104"/>
        <v>#N/A</v>
      </c>
    </row>
    <row r="137" spans="1:54" x14ac:dyDescent="0.2">
      <c r="A137" s="1">
        <f>IF(OR(Table1[[#This Row],[Type (TX, RX, TRX, Oscillator)]]="TX", Table1[[#This Row],[Type (TX, RX, TRX, Oscillator)]]="TX FE"),Table1[[#This Row],[Frequency (GHz)]],#N/A)</f>
        <v>26.26</v>
      </c>
      <c r="B137" s="30">
        <f>IF(OR(Table1[[#This Row],[Type (TX, RX, TRX, Oscillator)]]="TX", Table1[[#This Row],[Type (TX, RX, TRX, Oscillator)]]="TX FE"),DATE(Table1[[#This Row],[Year ]],Table1[[#This Row],[Month]],1),#N/A)</f>
        <v>44958</v>
      </c>
      <c r="C137" s="1">
        <f>IF(OR(Table1[[#This Row],[Type (TX, RX, TRX, Oscillator)]]="TX",Table1[[#This Row],[Type (TX, RX, TRX, Oscillator)]]="TX FE"),Table1[[#This Row],[Total Number of Elements (TX + RX)]],#N/A)</f>
        <v>256</v>
      </c>
      <c r="D137" s="1" t="e">
        <f t="shared" si="70"/>
        <v>#N/A</v>
      </c>
      <c r="E137" s="1">
        <f t="shared" si="71"/>
        <v>256</v>
      </c>
      <c r="F137" s="1" t="e">
        <f t="shared" si="72"/>
        <v>#N/A</v>
      </c>
      <c r="G137" s="1" t="e">
        <f t="shared" si="73"/>
        <v>#N/A</v>
      </c>
      <c r="H137" s="1" t="e">
        <f t="shared" si="74"/>
        <v>#N/A</v>
      </c>
      <c r="I137" s="1" t="e">
        <f t="shared" si="75"/>
        <v>#N/A</v>
      </c>
      <c r="J137" s="1" t="e">
        <f t="shared" si="76"/>
        <v>#N/A</v>
      </c>
      <c r="L137" s="1" t="e">
        <f>IF(OR(Table1[[#This Row],[Type (TX, RX, TRX, Oscillator)]]="RX", Table1[[#This Row],[Type (TX, RX, TRX, Oscillator)]]="RX FE"),Table1[[#This Row],[Frequency (GHz)]],#N/A)</f>
        <v>#N/A</v>
      </c>
      <c r="M137" s="30" t="e">
        <f>IF(OR(Table1[[#This Row],[Type (TX, RX, TRX, Oscillator)]]="RX", Table1[[#This Row],[Type (TX, RX, TRX, Oscillator)]]="RX FE"),DATE(Table1[[#This Row],[Year ]],Table1[[#This Row],[Month]],1),#N/A)</f>
        <v>#N/A</v>
      </c>
      <c r="N137" s="1" t="e">
        <f>IF(OR(Table1[[#This Row],[Type (TX, RX, TRX, Oscillator)]]="RX", Table1[[#This Row],[Type (TX, RX, TRX, Oscillator)]]="RX FE"),Table1[[#This Row],[Total Number of Elements (TX + RX)]],#N/A)</f>
        <v>#N/A</v>
      </c>
      <c r="O137" s="1" t="e">
        <f t="shared" si="77"/>
        <v>#N/A</v>
      </c>
      <c r="P137" s="1" t="e">
        <f t="shared" si="78"/>
        <v>#N/A</v>
      </c>
      <c r="Q137" s="1" t="e">
        <f t="shared" si="79"/>
        <v>#N/A</v>
      </c>
      <c r="R137" s="1" t="e">
        <f t="shared" si="80"/>
        <v>#N/A</v>
      </c>
      <c r="S137" s="1" t="e">
        <f t="shared" si="81"/>
        <v>#N/A</v>
      </c>
      <c r="T137" s="1" t="e">
        <f t="shared" si="82"/>
        <v>#N/A</v>
      </c>
      <c r="U137" s="1" t="e">
        <f t="shared" si="83"/>
        <v>#N/A</v>
      </c>
      <c r="W137" s="1" t="e">
        <f>IF(OR(Table1[[#This Row],[Type (TX, RX, TRX, Oscillator)]]="TRX",Table1[[#This Row],[Type (TX, RX, TRX, Oscillator)]]="TRX FE"),Table1[[#This Row],[Frequency (GHz)]],#N/A)</f>
        <v>#N/A</v>
      </c>
      <c r="X137" s="30" t="e">
        <f>IF(OR(Table1[[#This Row],[Type (TX, RX, TRX, Oscillator)]]="TRX", Table1[[#This Row],[Type (TX, RX, TRX, Oscillator)]]="TRX FE"),DATE(Table1[[#This Row],[Year ]],Table1[[#This Row],[Month]],1),#N/A)</f>
        <v>#N/A</v>
      </c>
      <c r="Y137" s="1" t="e">
        <f>IF(OR(Table1[[#This Row],[Type (TX, RX, TRX, Oscillator)]]="TRX", Table1[[#This Row],[Type (TX, RX, TRX, Oscillator)]]="TRX FE"),Table1[[#This Row],[Total Number of Elements (TX + RX)]],#N/A)</f>
        <v>#N/A</v>
      </c>
      <c r="Z137" s="1" t="e">
        <f t="shared" si="84"/>
        <v>#N/A</v>
      </c>
      <c r="AA137" s="1" t="e">
        <f t="shared" si="85"/>
        <v>#N/A</v>
      </c>
      <c r="AB137" s="1" t="e">
        <f t="shared" si="86"/>
        <v>#N/A</v>
      </c>
      <c r="AC137" s="1" t="e">
        <f t="shared" si="87"/>
        <v>#N/A</v>
      </c>
      <c r="AD137" s="1" t="e">
        <f t="shared" si="88"/>
        <v>#N/A</v>
      </c>
      <c r="AE137" s="1" t="e">
        <f t="shared" si="89"/>
        <v>#N/A</v>
      </c>
      <c r="AF137" s="1" t="e">
        <f t="shared" si="90"/>
        <v>#N/A</v>
      </c>
      <c r="AH137" s="1" t="e">
        <f>IF(Table1[[#This Row],[Type (TX, RX, TRX, Oscillator)]]="Oscillator",Table1[[#This Row],[Frequency (GHz)]],#N/A)</f>
        <v>#N/A</v>
      </c>
      <c r="AI137" s="30" t="e">
        <f>IF(Table1[[#This Row],[Type (TX, RX, TRX, Oscillator)]]="Oscillator",DATE(Table1[[#This Row],[Year ]],Table1[[#This Row],[Month]],1),#N/A)</f>
        <v>#N/A</v>
      </c>
      <c r="AJ137" s="1" t="e">
        <f>IF(Table1[[#This Row],[Type (TX, RX, TRX, Oscillator)]]="Oscillator",Table1[[#This Row],[Total Number of Elements (TX + RX)]],#N/A)</f>
        <v>#N/A</v>
      </c>
      <c r="AK137" s="1" t="e">
        <f t="shared" si="91"/>
        <v>#N/A</v>
      </c>
      <c r="AL137" s="1" t="e">
        <f t="shared" si="92"/>
        <v>#N/A</v>
      </c>
      <c r="AM137" s="1" t="e">
        <f t="shared" si="93"/>
        <v>#N/A</v>
      </c>
      <c r="AN137" s="1" t="e">
        <f t="shared" si="94"/>
        <v>#N/A</v>
      </c>
      <c r="AO137" s="1" t="e">
        <f t="shared" si="95"/>
        <v>#N/A</v>
      </c>
      <c r="AP137" s="1" t="e">
        <f t="shared" si="96"/>
        <v>#N/A</v>
      </c>
      <c r="AQ137" s="1" t="e">
        <f t="shared" si="97"/>
        <v>#N/A</v>
      </c>
      <c r="AS137" s="1" t="e">
        <f>IF(Table1[[#This Row],[Type (TX, RX, TRX, Oscillator)]]="Relay",Table1[[#This Row],[Frequency (GHz)]],#N/A)</f>
        <v>#N/A</v>
      </c>
      <c r="AT137" s="30" t="e">
        <f>IF(Table1[[#This Row],[Type (TX, RX, TRX, Oscillator)]]="Relay",DATE(Table1[[#This Row],[Year ]],Table1[[#This Row],[Month]],1),#N/A)</f>
        <v>#N/A</v>
      </c>
      <c r="AU137" s="1" t="e">
        <f>IF(Table1[[#This Row],[Type (TX, RX, TRX, Oscillator)]]="Relay",Table1[[#This Row],[Total Number of Elements (TX + RX)]],#N/A)</f>
        <v>#N/A</v>
      </c>
      <c r="AV137" s="1" t="e">
        <f t="shared" si="98"/>
        <v>#N/A</v>
      </c>
      <c r="AW137" s="1" t="e">
        <f t="shared" si="99"/>
        <v>#N/A</v>
      </c>
      <c r="AX137" s="1" t="e">
        <f t="shared" si="100"/>
        <v>#N/A</v>
      </c>
      <c r="AY137" s="1" t="e">
        <f t="shared" si="101"/>
        <v>#N/A</v>
      </c>
      <c r="AZ137" s="1" t="e">
        <f t="shared" si="102"/>
        <v>#N/A</v>
      </c>
      <c r="BA137" s="1" t="e">
        <f t="shared" si="103"/>
        <v>#N/A</v>
      </c>
      <c r="BB137" s="1" t="e">
        <f t="shared" si="104"/>
        <v>#N/A</v>
      </c>
    </row>
    <row r="138" spans="1:54" x14ac:dyDescent="0.2">
      <c r="A138" s="1">
        <f>IF(OR(Table1[[#This Row],[Type (TX, RX, TRX, Oscillator)]]="TX", Table1[[#This Row],[Type (TX, RX, TRX, Oscillator)]]="TX FE"),Table1[[#This Row],[Frequency (GHz)]],#N/A)</f>
        <v>90</v>
      </c>
      <c r="B138" s="30">
        <f>IF(OR(Table1[[#This Row],[Type (TX, RX, TRX, Oscillator)]]="TX", Table1[[#This Row],[Type (TX, RX, TRX, Oscillator)]]="TX FE"),DATE(Table1[[#This Row],[Year ]],Table1[[#This Row],[Month]],1),#N/A)</f>
        <v>44958</v>
      </c>
      <c r="C138" s="1">
        <f>IF(OR(Table1[[#This Row],[Type (TX, RX, TRX, Oscillator)]]="TX",Table1[[#This Row],[Type (TX, RX, TRX, Oscillator)]]="TX FE"),Table1[[#This Row],[Total Number of Elements (TX + RX)]],#N/A)</f>
        <v>1</v>
      </c>
      <c r="D138" s="1" t="e">
        <f t="shared" si="70"/>
        <v>#N/A</v>
      </c>
      <c r="E138" s="1" t="e">
        <f t="shared" si="71"/>
        <v>#N/A</v>
      </c>
      <c r="F138" s="1" t="e">
        <f t="shared" si="72"/>
        <v>#N/A</v>
      </c>
      <c r="G138" s="1">
        <f t="shared" si="73"/>
        <v>1</v>
      </c>
      <c r="H138" s="1" t="e">
        <f t="shared" si="74"/>
        <v>#N/A</v>
      </c>
      <c r="I138" s="1" t="e">
        <f t="shared" si="75"/>
        <v>#N/A</v>
      </c>
      <c r="J138" s="1" t="e">
        <f t="shared" si="76"/>
        <v>#N/A</v>
      </c>
      <c r="L138" s="1" t="e">
        <f>IF(OR(Table1[[#This Row],[Type (TX, RX, TRX, Oscillator)]]="RX", Table1[[#This Row],[Type (TX, RX, TRX, Oscillator)]]="RX FE"),Table1[[#This Row],[Frequency (GHz)]],#N/A)</f>
        <v>#N/A</v>
      </c>
      <c r="M138" s="30" t="e">
        <f>IF(OR(Table1[[#This Row],[Type (TX, RX, TRX, Oscillator)]]="RX", Table1[[#This Row],[Type (TX, RX, TRX, Oscillator)]]="RX FE"),DATE(Table1[[#This Row],[Year ]],Table1[[#This Row],[Month]],1),#N/A)</f>
        <v>#N/A</v>
      </c>
      <c r="N138" s="1" t="e">
        <f>IF(OR(Table1[[#This Row],[Type (TX, RX, TRX, Oscillator)]]="RX", Table1[[#This Row],[Type (TX, RX, TRX, Oscillator)]]="RX FE"),Table1[[#This Row],[Total Number of Elements (TX + RX)]],#N/A)</f>
        <v>#N/A</v>
      </c>
      <c r="O138" s="1" t="e">
        <f t="shared" si="77"/>
        <v>#N/A</v>
      </c>
      <c r="P138" s="1" t="e">
        <f t="shared" si="78"/>
        <v>#N/A</v>
      </c>
      <c r="Q138" s="1" t="e">
        <f t="shared" si="79"/>
        <v>#N/A</v>
      </c>
      <c r="R138" s="1" t="e">
        <f t="shared" si="80"/>
        <v>#N/A</v>
      </c>
      <c r="S138" s="1" t="e">
        <f t="shared" si="81"/>
        <v>#N/A</v>
      </c>
      <c r="T138" s="1" t="e">
        <f t="shared" si="82"/>
        <v>#N/A</v>
      </c>
      <c r="U138" s="1" t="e">
        <f t="shared" si="83"/>
        <v>#N/A</v>
      </c>
      <c r="W138" s="1" t="e">
        <f>IF(OR(Table1[[#This Row],[Type (TX, RX, TRX, Oscillator)]]="TRX",Table1[[#This Row],[Type (TX, RX, TRX, Oscillator)]]="TRX FE"),Table1[[#This Row],[Frequency (GHz)]],#N/A)</f>
        <v>#N/A</v>
      </c>
      <c r="X138" s="30" t="e">
        <f>IF(OR(Table1[[#This Row],[Type (TX, RX, TRX, Oscillator)]]="TRX", Table1[[#This Row],[Type (TX, RX, TRX, Oscillator)]]="TRX FE"),DATE(Table1[[#This Row],[Year ]],Table1[[#This Row],[Month]],1),#N/A)</f>
        <v>#N/A</v>
      </c>
      <c r="Y138" s="1" t="e">
        <f>IF(OR(Table1[[#This Row],[Type (TX, RX, TRX, Oscillator)]]="TRX", Table1[[#This Row],[Type (TX, RX, TRX, Oscillator)]]="TRX FE"),Table1[[#This Row],[Total Number of Elements (TX + RX)]],#N/A)</f>
        <v>#N/A</v>
      </c>
      <c r="Z138" s="1" t="e">
        <f t="shared" si="84"/>
        <v>#N/A</v>
      </c>
      <c r="AA138" s="1" t="e">
        <f t="shared" si="85"/>
        <v>#N/A</v>
      </c>
      <c r="AB138" s="1" t="e">
        <f t="shared" si="86"/>
        <v>#N/A</v>
      </c>
      <c r="AC138" s="1" t="e">
        <f t="shared" si="87"/>
        <v>#N/A</v>
      </c>
      <c r="AD138" s="1" t="e">
        <f t="shared" si="88"/>
        <v>#N/A</v>
      </c>
      <c r="AE138" s="1" t="e">
        <f t="shared" si="89"/>
        <v>#N/A</v>
      </c>
      <c r="AF138" s="1" t="e">
        <f t="shared" si="90"/>
        <v>#N/A</v>
      </c>
      <c r="AH138" s="1" t="e">
        <f>IF(Table1[[#This Row],[Type (TX, RX, TRX, Oscillator)]]="Oscillator",Table1[[#This Row],[Frequency (GHz)]],#N/A)</f>
        <v>#N/A</v>
      </c>
      <c r="AI138" s="30" t="e">
        <f>IF(Table1[[#This Row],[Type (TX, RX, TRX, Oscillator)]]="Oscillator",DATE(Table1[[#This Row],[Year ]],Table1[[#This Row],[Month]],1),#N/A)</f>
        <v>#N/A</v>
      </c>
      <c r="AJ138" s="1" t="e">
        <f>IF(Table1[[#This Row],[Type (TX, RX, TRX, Oscillator)]]="Oscillator",Table1[[#This Row],[Total Number of Elements (TX + RX)]],#N/A)</f>
        <v>#N/A</v>
      </c>
      <c r="AK138" s="1" t="e">
        <f t="shared" si="91"/>
        <v>#N/A</v>
      </c>
      <c r="AL138" s="1" t="e">
        <f t="shared" si="92"/>
        <v>#N/A</v>
      </c>
      <c r="AM138" s="1" t="e">
        <f t="shared" si="93"/>
        <v>#N/A</v>
      </c>
      <c r="AN138" s="1" t="e">
        <f t="shared" si="94"/>
        <v>#N/A</v>
      </c>
      <c r="AO138" s="1" t="e">
        <f t="shared" si="95"/>
        <v>#N/A</v>
      </c>
      <c r="AP138" s="1" t="e">
        <f t="shared" si="96"/>
        <v>#N/A</v>
      </c>
      <c r="AQ138" s="1" t="e">
        <f t="shared" si="97"/>
        <v>#N/A</v>
      </c>
      <c r="AS138" s="1" t="e">
        <f>IF(Table1[[#This Row],[Type (TX, RX, TRX, Oscillator)]]="Relay",Table1[[#This Row],[Frequency (GHz)]],#N/A)</f>
        <v>#N/A</v>
      </c>
      <c r="AT138" s="30" t="e">
        <f>IF(Table1[[#This Row],[Type (TX, RX, TRX, Oscillator)]]="Relay",DATE(Table1[[#This Row],[Year ]],Table1[[#This Row],[Month]],1),#N/A)</f>
        <v>#N/A</v>
      </c>
      <c r="AU138" s="1" t="e">
        <f>IF(Table1[[#This Row],[Type (TX, RX, TRX, Oscillator)]]="Relay",Table1[[#This Row],[Total Number of Elements (TX + RX)]],#N/A)</f>
        <v>#N/A</v>
      </c>
      <c r="AV138" s="1" t="e">
        <f t="shared" si="98"/>
        <v>#N/A</v>
      </c>
      <c r="AW138" s="1" t="e">
        <f t="shared" si="99"/>
        <v>#N/A</v>
      </c>
      <c r="AX138" s="1" t="e">
        <f t="shared" si="100"/>
        <v>#N/A</v>
      </c>
      <c r="AY138" s="1" t="e">
        <f t="shared" si="101"/>
        <v>#N/A</v>
      </c>
      <c r="AZ138" s="1" t="e">
        <f t="shared" si="102"/>
        <v>#N/A</v>
      </c>
      <c r="BA138" s="1" t="e">
        <f t="shared" si="103"/>
        <v>#N/A</v>
      </c>
      <c r="BB138" s="1" t="e">
        <f t="shared" si="104"/>
        <v>#N/A</v>
      </c>
    </row>
    <row r="139" spans="1:54" x14ac:dyDescent="0.2">
      <c r="A139" s="1" t="e">
        <f>IF(OR(Table1[[#This Row],[Type (TX, RX, TRX, Oscillator)]]="TX", Table1[[#This Row],[Type (TX, RX, TRX, Oscillator)]]="TX FE"),Table1[[#This Row],[Frequency (GHz)]],#N/A)</f>
        <v>#N/A</v>
      </c>
      <c r="B139" s="30" t="e">
        <f>IF(OR(Table1[[#This Row],[Type (TX, RX, TRX, Oscillator)]]="TX", Table1[[#This Row],[Type (TX, RX, TRX, Oscillator)]]="TX FE"),DATE(Table1[[#This Row],[Year ]],Table1[[#This Row],[Month]],1),#N/A)</f>
        <v>#N/A</v>
      </c>
      <c r="C139" s="1" t="e">
        <f>IF(OR(Table1[[#This Row],[Type (TX, RX, TRX, Oscillator)]]="TX",Table1[[#This Row],[Type (TX, RX, TRX, Oscillator)]]="TX FE"),Table1[[#This Row],[Total Number of Elements (TX + RX)]],#N/A)</f>
        <v>#N/A</v>
      </c>
      <c r="D139" s="1" t="e">
        <f t="shared" si="70"/>
        <v>#N/A</v>
      </c>
      <c r="E139" s="1" t="e">
        <f t="shared" si="71"/>
        <v>#N/A</v>
      </c>
      <c r="F139" s="1" t="e">
        <f t="shared" si="72"/>
        <v>#N/A</v>
      </c>
      <c r="G139" s="1" t="e">
        <f t="shared" si="73"/>
        <v>#N/A</v>
      </c>
      <c r="H139" s="1" t="e">
        <f t="shared" si="74"/>
        <v>#N/A</v>
      </c>
      <c r="I139" s="1" t="e">
        <f t="shared" si="75"/>
        <v>#N/A</v>
      </c>
      <c r="J139" s="1" t="e">
        <f t="shared" si="76"/>
        <v>#N/A</v>
      </c>
      <c r="L139" s="1">
        <f>IF(OR(Table1[[#This Row],[Type (TX, RX, TRX, Oscillator)]]="RX", Table1[[#This Row],[Type (TX, RX, TRX, Oscillator)]]="RX FE"),Table1[[#This Row],[Frequency (GHz)]],#N/A)</f>
        <v>90</v>
      </c>
      <c r="M139" s="30">
        <f>IF(OR(Table1[[#This Row],[Type (TX, RX, TRX, Oscillator)]]="RX", Table1[[#This Row],[Type (TX, RX, TRX, Oscillator)]]="RX FE"),DATE(Table1[[#This Row],[Year ]],Table1[[#This Row],[Month]],1),#N/A)</f>
        <v>44958</v>
      </c>
      <c r="N139" s="1">
        <f>IF(OR(Table1[[#This Row],[Type (TX, RX, TRX, Oscillator)]]="RX", Table1[[#This Row],[Type (TX, RX, TRX, Oscillator)]]="RX FE"),Table1[[#This Row],[Total Number of Elements (TX + RX)]],#N/A)</f>
        <v>4</v>
      </c>
      <c r="O139" s="1" t="e">
        <f t="shared" si="77"/>
        <v>#N/A</v>
      </c>
      <c r="P139" s="1" t="e">
        <f t="shared" si="78"/>
        <v>#N/A</v>
      </c>
      <c r="Q139" s="1" t="e">
        <f t="shared" si="79"/>
        <v>#N/A</v>
      </c>
      <c r="R139" s="1">
        <f t="shared" si="80"/>
        <v>4</v>
      </c>
      <c r="S139" s="1" t="e">
        <f t="shared" si="81"/>
        <v>#N/A</v>
      </c>
      <c r="T139" s="1" t="e">
        <f t="shared" si="82"/>
        <v>#N/A</v>
      </c>
      <c r="U139" s="1" t="e">
        <f t="shared" si="83"/>
        <v>#N/A</v>
      </c>
      <c r="W139" s="1" t="e">
        <f>IF(OR(Table1[[#This Row],[Type (TX, RX, TRX, Oscillator)]]="TRX",Table1[[#This Row],[Type (TX, RX, TRX, Oscillator)]]="TRX FE"),Table1[[#This Row],[Frequency (GHz)]],#N/A)</f>
        <v>#N/A</v>
      </c>
      <c r="X139" s="30" t="e">
        <f>IF(OR(Table1[[#This Row],[Type (TX, RX, TRX, Oscillator)]]="TRX", Table1[[#This Row],[Type (TX, RX, TRX, Oscillator)]]="TRX FE"),DATE(Table1[[#This Row],[Year ]],Table1[[#This Row],[Month]],1),#N/A)</f>
        <v>#N/A</v>
      </c>
      <c r="Y139" s="1" t="e">
        <f>IF(OR(Table1[[#This Row],[Type (TX, RX, TRX, Oscillator)]]="TRX", Table1[[#This Row],[Type (TX, RX, TRX, Oscillator)]]="TRX FE"),Table1[[#This Row],[Total Number of Elements (TX + RX)]],#N/A)</f>
        <v>#N/A</v>
      </c>
      <c r="Z139" s="1" t="e">
        <f t="shared" si="84"/>
        <v>#N/A</v>
      </c>
      <c r="AA139" s="1" t="e">
        <f t="shared" si="85"/>
        <v>#N/A</v>
      </c>
      <c r="AB139" s="1" t="e">
        <f t="shared" si="86"/>
        <v>#N/A</v>
      </c>
      <c r="AC139" s="1" t="e">
        <f t="shared" si="87"/>
        <v>#N/A</v>
      </c>
      <c r="AD139" s="1" t="e">
        <f t="shared" si="88"/>
        <v>#N/A</v>
      </c>
      <c r="AE139" s="1" t="e">
        <f t="shared" si="89"/>
        <v>#N/A</v>
      </c>
      <c r="AF139" s="1" t="e">
        <f t="shared" si="90"/>
        <v>#N/A</v>
      </c>
      <c r="AH139" s="1" t="e">
        <f>IF(Table1[[#This Row],[Type (TX, RX, TRX, Oscillator)]]="Oscillator",Table1[[#This Row],[Frequency (GHz)]],#N/A)</f>
        <v>#N/A</v>
      </c>
      <c r="AI139" s="30" t="e">
        <f>IF(Table1[[#This Row],[Type (TX, RX, TRX, Oscillator)]]="Oscillator",DATE(Table1[[#This Row],[Year ]],Table1[[#This Row],[Month]],1),#N/A)</f>
        <v>#N/A</v>
      </c>
      <c r="AJ139" s="1" t="e">
        <f>IF(Table1[[#This Row],[Type (TX, RX, TRX, Oscillator)]]="Oscillator",Table1[[#This Row],[Total Number of Elements (TX + RX)]],#N/A)</f>
        <v>#N/A</v>
      </c>
      <c r="AK139" s="1" t="e">
        <f t="shared" si="91"/>
        <v>#N/A</v>
      </c>
      <c r="AL139" s="1" t="e">
        <f t="shared" si="92"/>
        <v>#N/A</v>
      </c>
      <c r="AM139" s="1" t="e">
        <f t="shared" si="93"/>
        <v>#N/A</v>
      </c>
      <c r="AN139" s="1" t="e">
        <f t="shared" si="94"/>
        <v>#N/A</v>
      </c>
      <c r="AO139" s="1" t="e">
        <f t="shared" si="95"/>
        <v>#N/A</v>
      </c>
      <c r="AP139" s="1" t="e">
        <f t="shared" si="96"/>
        <v>#N/A</v>
      </c>
      <c r="AQ139" s="1" t="e">
        <f t="shared" si="97"/>
        <v>#N/A</v>
      </c>
      <c r="AS139" s="1" t="e">
        <f>IF(Table1[[#This Row],[Type (TX, RX, TRX, Oscillator)]]="Relay",Table1[[#This Row],[Frequency (GHz)]],#N/A)</f>
        <v>#N/A</v>
      </c>
      <c r="AT139" s="30" t="e">
        <f>IF(Table1[[#This Row],[Type (TX, RX, TRX, Oscillator)]]="Relay",DATE(Table1[[#This Row],[Year ]],Table1[[#This Row],[Month]],1),#N/A)</f>
        <v>#N/A</v>
      </c>
      <c r="AU139" s="1" t="e">
        <f>IF(Table1[[#This Row],[Type (TX, RX, TRX, Oscillator)]]="Relay",Table1[[#This Row],[Total Number of Elements (TX + RX)]],#N/A)</f>
        <v>#N/A</v>
      </c>
      <c r="AV139" s="1" t="e">
        <f t="shared" si="98"/>
        <v>#N/A</v>
      </c>
      <c r="AW139" s="1" t="e">
        <f t="shared" si="99"/>
        <v>#N/A</v>
      </c>
      <c r="AX139" s="1" t="e">
        <f t="shared" si="100"/>
        <v>#N/A</v>
      </c>
      <c r="AY139" s="1" t="e">
        <f t="shared" si="101"/>
        <v>#N/A</v>
      </c>
      <c r="AZ139" s="1" t="e">
        <f t="shared" si="102"/>
        <v>#N/A</v>
      </c>
      <c r="BA139" s="1" t="e">
        <f t="shared" si="103"/>
        <v>#N/A</v>
      </c>
      <c r="BB139" s="1" t="e">
        <f t="shared" si="104"/>
        <v>#N/A</v>
      </c>
    </row>
    <row r="140" spans="1:54" x14ac:dyDescent="0.2">
      <c r="A140" s="1" t="e">
        <f>IF(OR(Table1[[#This Row],[Type (TX, RX, TRX, Oscillator)]]="TX", Table1[[#This Row],[Type (TX, RX, TRX, Oscillator)]]="TX FE"),Table1[[#This Row],[Frequency (GHz)]],#N/A)</f>
        <v>#N/A</v>
      </c>
      <c r="B140" s="30" t="e">
        <f>IF(OR(Table1[[#This Row],[Type (TX, RX, TRX, Oscillator)]]="TX", Table1[[#This Row],[Type (TX, RX, TRX, Oscillator)]]="TX FE"),DATE(Table1[[#This Row],[Year ]],Table1[[#This Row],[Month]],1),#N/A)</f>
        <v>#N/A</v>
      </c>
      <c r="C140" s="1" t="e">
        <f>IF(OR(Table1[[#This Row],[Type (TX, RX, TRX, Oscillator)]]="TX",Table1[[#This Row],[Type (TX, RX, TRX, Oscillator)]]="TX FE"),Table1[[#This Row],[Total Number of Elements (TX + RX)]],#N/A)</f>
        <v>#N/A</v>
      </c>
      <c r="D140" s="1" t="e">
        <f t="shared" si="70"/>
        <v>#N/A</v>
      </c>
      <c r="E140" s="1" t="e">
        <f t="shared" si="71"/>
        <v>#N/A</v>
      </c>
      <c r="F140" s="1" t="e">
        <f t="shared" si="72"/>
        <v>#N/A</v>
      </c>
      <c r="G140" s="1" t="e">
        <f t="shared" si="73"/>
        <v>#N/A</v>
      </c>
      <c r="H140" s="1" t="e">
        <f t="shared" si="74"/>
        <v>#N/A</v>
      </c>
      <c r="I140" s="1" t="e">
        <f t="shared" si="75"/>
        <v>#N/A</v>
      </c>
      <c r="J140" s="1" t="e">
        <f t="shared" si="76"/>
        <v>#N/A</v>
      </c>
      <c r="L140" s="1" t="e">
        <f>IF(OR(Table1[[#This Row],[Type (TX, RX, TRX, Oscillator)]]="RX", Table1[[#This Row],[Type (TX, RX, TRX, Oscillator)]]="RX FE"),Table1[[#This Row],[Frequency (GHz)]],#N/A)</f>
        <v>#N/A</v>
      </c>
      <c r="M140" s="30" t="e">
        <f>IF(OR(Table1[[#This Row],[Type (TX, RX, TRX, Oscillator)]]="RX", Table1[[#This Row],[Type (TX, RX, TRX, Oscillator)]]="RX FE"),DATE(Table1[[#This Row],[Year ]],Table1[[#This Row],[Month]],1),#N/A)</f>
        <v>#N/A</v>
      </c>
      <c r="N140" s="1" t="e">
        <f>IF(OR(Table1[[#This Row],[Type (TX, RX, TRX, Oscillator)]]="RX", Table1[[#This Row],[Type (TX, RX, TRX, Oscillator)]]="RX FE"),Table1[[#This Row],[Total Number of Elements (TX + RX)]],#N/A)</f>
        <v>#N/A</v>
      </c>
      <c r="O140" s="1" t="e">
        <f t="shared" si="77"/>
        <v>#N/A</v>
      </c>
      <c r="P140" s="1" t="e">
        <f t="shared" si="78"/>
        <v>#N/A</v>
      </c>
      <c r="Q140" s="1" t="e">
        <f t="shared" si="79"/>
        <v>#N/A</v>
      </c>
      <c r="R140" s="1" t="e">
        <f t="shared" si="80"/>
        <v>#N/A</v>
      </c>
      <c r="S140" s="1" t="e">
        <f t="shared" si="81"/>
        <v>#N/A</v>
      </c>
      <c r="T140" s="1" t="e">
        <f t="shared" si="82"/>
        <v>#N/A</v>
      </c>
      <c r="U140" s="1" t="e">
        <f t="shared" si="83"/>
        <v>#N/A</v>
      </c>
      <c r="W140" s="1" t="e">
        <f>IF(OR(Table1[[#This Row],[Type (TX, RX, TRX, Oscillator)]]="TRX",Table1[[#This Row],[Type (TX, RX, TRX, Oscillator)]]="TRX FE"),Table1[[#This Row],[Frequency (GHz)]],#N/A)</f>
        <v>#N/A</v>
      </c>
      <c r="X140" s="30" t="e">
        <f>IF(OR(Table1[[#This Row],[Type (TX, RX, TRX, Oscillator)]]="TRX", Table1[[#This Row],[Type (TX, RX, TRX, Oscillator)]]="TRX FE"),DATE(Table1[[#This Row],[Year ]],Table1[[#This Row],[Month]],1),#N/A)</f>
        <v>#N/A</v>
      </c>
      <c r="Y140" s="1" t="e">
        <f>IF(OR(Table1[[#This Row],[Type (TX, RX, TRX, Oscillator)]]="TRX", Table1[[#This Row],[Type (TX, RX, TRX, Oscillator)]]="TRX FE"),Table1[[#This Row],[Total Number of Elements (TX + RX)]],#N/A)</f>
        <v>#N/A</v>
      </c>
      <c r="Z140" s="1" t="e">
        <f t="shared" si="84"/>
        <v>#N/A</v>
      </c>
      <c r="AA140" s="1" t="e">
        <f t="shared" si="85"/>
        <v>#N/A</v>
      </c>
      <c r="AB140" s="1" t="e">
        <f t="shared" si="86"/>
        <v>#N/A</v>
      </c>
      <c r="AC140" s="1" t="e">
        <f t="shared" si="87"/>
        <v>#N/A</v>
      </c>
      <c r="AD140" s="1" t="e">
        <f t="shared" si="88"/>
        <v>#N/A</v>
      </c>
      <c r="AE140" s="1" t="e">
        <f t="shared" si="89"/>
        <v>#N/A</v>
      </c>
      <c r="AF140" s="1" t="e">
        <f t="shared" si="90"/>
        <v>#N/A</v>
      </c>
      <c r="AH140" s="1" t="e">
        <f>IF(Table1[[#This Row],[Type (TX, RX, TRX, Oscillator)]]="Oscillator",Table1[[#This Row],[Frequency (GHz)]],#N/A)</f>
        <v>#N/A</v>
      </c>
      <c r="AI140" s="30" t="e">
        <f>IF(Table1[[#This Row],[Type (TX, RX, TRX, Oscillator)]]="Oscillator",DATE(Table1[[#This Row],[Year ]],Table1[[#This Row],[Month]],1),#N/A)</f>
        <v>#N/A</v>
      </c>
      <c r="AJ140" s="1" t="e">
        <f>IF(Table1[[#This Row],[Type (TX, RX, TRX, Oscillator)]]="Oscillator",Table1[[#This Row],[Total Number of Elements (TX + RX)]],#N/A)</f>
        <v>#N/A</v>
      </c>
      <c r="AK140" s="1" t="e">
        <f t="shared" si="91"/>
        <v>#N/A</v>
      </c>
      <c r="AL140" s="1" t="e">
        <f t="shared" si="92"/>
        <v>#N/A</v>
      </c>
      <c r="AM140" s="1" t="e">
        <f t="shared" si="93"/>
        <v>#N/A</v>
      </c>
      <c r="AN140" s="1" t="e">
        <f t="shared" si="94"/>
        <v>#N/A</v>
      </c>
      <c r="AO140" s="1" t="e">
        <f t="shared" si="95"/>
        <v>#N/A</v>
      </c>
      <c r="AP140" s="1" t="e">
        <f t="shared" si="96"/>
        <v>#N/A</v>
      </c>
      <c r="AQ140" s="1" t="e">
        <f t="shared" si="97"/>
        <v>#N/A</v>
      </c>
      <c r="AS140" s="1">
        <f>IF(Table1[[#This Row],[Type (TX, RX, TRX, Oscillator)]]="Relay",Table1[[#This Row],[Frequency (GHz)]],#N/A)</f>
        <v>260</v>
      </c>
      <c r="AT140" s="30">
        <f>IF(Table1[[#This Row],[Type (TX, RX, TRX, Oscillator)]]="Relay",DATE(Table1[[#This Row],[Year ]],Table1[[#This Row],[Month]],1),#N/A)</f>
        <v>44958</v>
      </c>
      <c r="AU140" s="1">
        <f>IF(Table1[[#This Row],[Type (TX, RX, TRX, Oscillator)]]="Relay",Table1[[#This Row],[Total Number of Elements (TX + RX)]],#N/A)</f>
        <v>8</v>
      </c>
      <c r="AV140" s="1" t="e">
        <f t="shared" si="98"/>
        <v>#N/A</v>
      </c>
      <c r="AW140" s="1" t="e">
        <f t="shared" si="99"/>
        <v>#N/A</v>
      </c>
      <c r="AX140" s="1" t="e">
        <f t="shared" si="100"/>
        <v>#N/A</v>
      </c>
      <c r="AY140" s="1" t="e">
        <f t="shared" si="101"/>
        <v>#N/A</v>
      </c>
      <c r="AZ140" s="1" t="e">
        <f t="shared" si="102"/>
        <v>#N/A</v>
      </c>
      <c r="BA140" s="1" t="e">
        <f t="shared" si="103"/>
        <v>#N/A</v>
      </c>
      <c r="BB140" s="1">
        <f t="shared" si="104"/>
        <v>8</v>
      </c>
    </row>
    <row r="141" spans="1:54" x14ac:dyDescent="0.2">
      <c r="A141" s="1" t="e">
        <f>IF(OR(Table1[[#This Row],[Type (TX, RX, TRX, Oscillator)]]="TX", Table1[[#This Row],[Type (TX, RX, TRX, Oscillator)]]="TX FE"),Table1[[#This Row],[Frequency (GHz)]],#N/A)</f>
        <v>#N/A</v>
      </c>
      <c r="B141" s="30" t="e">
        <f>IF(OR(Table1[[#This Row],[Type (TX, RX, TRX, Oscillator)]]="TX", Table1[[#This Row],[Type (TX, RX, TRX, Oscillator)]]="TX FE"),DATE(Table1[[#This Row],[Year ]],Table1[[#This Row],[Month]],1),#N/A)</f>
        <v>#N/A</v>
      </c>
      <c r="C141" s="1" t="e">
        <f>IF(OR(Table1[[#This Row],[Type (TX, RX, TRX, Oscillator)]]="TX",Table1[[#This Row],[Type (TX, RX, TRX, Oscillator)]]="TX FE"),Table1[[#This Row],[Total Number of Elements (TX + RX)]],#N/A)</f>
        <v>#N/A</v>
      </c>
      <c r="D141" s="1" t="e">
        <f t="shared" si="70"/>
        <v>#N/A</v>
      </c>
      <c r="E141" s="1" t="e">
        <f t="shared" si="71"/>
        <v>#N/A</v>
      </c>
      <c r="F141" s="1" t="e">
        <f t="shared" si="72"/>
        <v>#N/A</v>
      </c>
      <c r="G141" s="1" t="e">
        <f t="shared" si="73"/>
        <v>#N/A</v>
      </c>
      <c r="H141" s="1" t="e">
        <f t="shared" si="74"/>
        <v>#N/A</v>
      </c>
      <c r="I141" s="1" t="e">
        <f t="shared" si="75"/>
        <v>#N/A</v>
      </c>
      <c r="J141" s="1" t="e">
        <f t="shared" si="76"/>
        <v>#N/A</v>
      </c>
      <c r="L141" s="1" t="e">
        <f>IF(OR(Table1[[#This Row],[Type (TX, RX, TRX, Oscillator)]]="RX", Table1[[#This Row],[Type (TX, RX, TRX, Oscillator)]]="RX FE"),Table1[[#This Row],[Frequency (GHz)]],#N/A)</f>
        <v>#N/A</v>
      </c>
      <c r="M141" s="30" t="e">
        <f>IF(OR(Table1[[#This Row],[Type (TX, RX, TRX, Oscillator)]]="RX", Table1[[#This Row],[Type (TX, RX, TRX, Oscillator)]]="RX FE"),DATE(Table1[[#This Row],[Year ]],Table1[[#This Row],[Month]],1),#N/A)</f>
        <v>#N/A</v>
      </c>
      <c r="N141" s="1" t="e">
        <f>IF(OR(Table1[[#This Row],[Type (TX, RX, TRX, Oscillator)]]="RX", Table1[[#This Row],[Type (TX, RX, TRX, Oscillator)]]="RX FE"),Table1[[#This Row],[Total Number of Elements (TX + RX)]],#N/A)</f>
        <v>#N/A</v>
      </c>
      <c r="O141" s="1" t="e">
        <f t="shared" si="77"/>
        <v>#N/A</v>
      </c>
      <c r="P141" s="1" t="e">
        <f t="shared" si="78"/>
        <v>#N/A</v>
      </c>
      <c r="Q141" s="1" t="e">
        <f t="shared" si="79"/>
        <v>#N/A</v>
      </c>
      <c r="R141" s="1" t="e">
        <f t="shared" si="80"/>
        <v>#N/A</v>
      </c>
      <c r="S141" s="1" t="e">
        <f t="shared" si="81"/>
        <v>#N/A</v>
      </c>
      <c r="T141" s="1" t="e">
        <f t="shared" si="82"/>
        <v>#N/A</v>
      </c>
      <c r="U141" s="1" t="e">
        <f t="shared" si="83"/>
        <v>#N/A</v>
      </c>
      <c r="W141" s="1">
        <f>IF(OR(Table1[[#This Row],[Type (TX, RX, TRX, Oscillator)]]="TRX",Table1[[#This Row],[Type (TX, RX, TRX, Oscillator)]]="TRX FE"),Table1[[#This Row],[Frequency (GHz)]],#N/A)</f>
        <v>35</v>
      </c>
      <c r="X141" s="30">
        <f>IF(OR(Table1[[#This Row],[Type (TX, RX, TRX, Oscillator)]]="TRX", Table1[[#This Row],[Type (TX, RX, TRX, Oscillator)]]="TRX FE"),DATE(Table1[[#This Row],[Year ]],Table1[[#This Row],[Month]],1),#N/A)</f>
        <v>44986</v>
      </c>
      <c r="Y141" s="1">
        <f>IF(OR(Table1[[#This Row],[Type (TX, RX, TRX, Oscillator)]]="TRX", Table1[[#This Row],[Type (TX, RX, TRX, Oscillator)]]="TRX FE"),Table1[[#This Row],[Total Number of Elements (TX + RX)]],#N/A)</f>
        <v>8</v>
      </c>
      <c r="Z141" s="1" t="e">
        <f t="shared" si="84"/>
        <v>#N/A</v>
      </c>
      <c r="AA141" s="1">
        <f t="shared" si="85"/>
        <v>8</v>
      </c>
      <c r="AB141" s="1" t="e">
        <f t="shared" si="86"/>
        <v>#N/A</v>
      </c>
      <c r="AC141" s="1" t="e">
        <f t="shared" si="87"/>
        <v>#N/A</v>
      </c>
      <c r="AD141" s="1" t="e">
        <f t="shared" si="88"/>
        <v>#N/A</v>
      </c>
      <c r="AE141" s="1" t="e">
        <f t="shared" si="89"/>
        <v>#N/A</v>
      </c>
      <c r="AF141" s="1" t="e">
        <f t="shared" si="90"/>
        <v>#N/A</v>
      </c>
      <c r="AH141" s="1" t="e">
        <f>IF(Table1[[#This Row],[Type (TX, RX, TRX, Oscillator)]]="Oscillator",Table1[[#This Row],[Frequency (GHz)]],#N/A)</f>
        <v>#N/A</v>
      </c>
      <c r="AI141" s="30" t="e">
        <f>IF(Table1[[#This Row],[Type (TX, RX, TRX, Oscillator)]]="Oscillator",DATE(Table1[[#This Row],[Year ]],Table1[[#This Row],[Month]],1),#N/A)</f>
        <v>#N/A</v>
      </c>
      <c r="AJ141" s="1" t="e">
        <f>IF(Table1[[#This Row],[Type (TX, RX, TRX, Oscillator)]]="Oscillator",Table1[[#This Row],[Total Number of Elements (TX + RX)]],#N/A)</f>
        <v>#N/A</v>
      </c>
      <c r="AK141" s="1" t="e">
        <f t="shared" si="91"/>
        <v>#N/A</v>
      </c>
      <c r="AL141" s="1" t="e">
        <f t="shared" si="92"/>
        <v>#N/A</v>
      </c>
      <c r="AM141" s="1" t="e">
        <f t="shared" si="93"/>
        <v>#N/A</v>
      </c>
      <c r="AN141" s="1" t="e">
        <f t="shared" si="94"/>
        <v>#N/A</v>
      </c>
      <c r="AO141" s="1" t="e">
        <f t="shared" si="95"/>
        <v>#N/A</v>
      </c>
      <c r="AP141" s="1" t="e">
        <f t="shared" si="96"/>
        <v>#N/A</v>
      </c>
      <c r="AQ141" s="1" t="e">
        <f t="shared" si="97"/>
        <v>#N/A</v>
      </c>
      <c r="AS141" s="1" t="e">
        <f>IF(Table1[[#This Row],[Type (TX, RX, TRX, Oscillator)]]="Relay",Table1[[#This Row],[Frequency (GHz)]],#N/A)</f>
        <v>#N/A</v>
      </c>
      <c r="AT141" s="30" t="e">
        <f>IF(Table1[[#This Row],[Type (TX, RX, TRX, Oscillator)]]="Relay",DATE(Table1[[#This Row],[Year ]],Table1[[#This Row],[Month]],1),#N/A)</f>
        <v>#N/A</v>
      </c>
      <c r="AU141" s="1" t="e">
        <f>IF(Table1[[#This Row],[Type (TX, RX, TRX, Oscillator)]]="Relay",Table1[[#This Row],[Total Number of Elements (TX + RX)]],#N/A)</f>
        <v>#N/A</v>
      </c>
      <c r="AV141" s="1" t="e">
        <f t="shared" si="98"/>
        <v>#N/A</v>
      </c>
      <c r="AW141" s="1" t="e">
        <f t="shared" si="99"/>
        <v>#N/A</v>
      </c>
      <c r="AX141" s="1" t="e">
        <f t="shared" si="100"/>
        <v>#N/A</v>
      </c>
      <c r="AY141" s="1" t="e">
        <f t="shared" si="101"/>
        <v>#N/A</v>
      </c>
      <c r="AZ141" s="1" t="e">
        <f t="shared" si="102"/>
        <v>#N/A</v>
      </c>
      <c r="BA141" s="1" t="e">
        <f t="shared" si="103"/>
        <v>#N/A</v>
      </c>
      <c r="BB141" s="1" t="e">
        <f t="shared" si="104"/>
        <v>#N/A</v>
      </c>
    </row>
    <row r="142" spans="1:54" x14ac:dyDescent="0.2">
      <c r="A142" s="1" t="e">
        <f>IF(OR(Table1[[#This Row],[Type (TX, RX, TRX, Oscillator)]]="TX", Table1[[#This Row],[Type (TX, RX, TRX, Oscillator)]]="TX FE"),Table1[[#This Row],[Frequency (GHz)]],#N/A)</f>
        <v>#N/A</v>
      </c>
      <c r="B142" s="30" t="e">
        <f>IF(OR(Table1[[#This Row],[Type (TX, RX, TRX, Oscillator)]]="TX", Table1[[#This Row],[Type (TX, RX, TRX, Oscillator)]]="TX FE"),DATE(Table1[[#This Row],[Year ]],Table1[[#This Row],[Month]],1),#N/A)</f>
        <v>#N/A</v>
      </c>
      <c r="C142" s="1" t="e">
        <f>IF(OR(Table1[[#This Row],[Type (TX, RX, TRX, Oscillator)]]="TX",Table1[[#This Row],[Type (TX, RX, TRX, Oscillator)]]="TX FE"),Table1[[#This Row],[Total Number of Elements (TX + RX)]],#N/A)</f>
        <v>#N/A</v>
      </c>
      <c r="D142" s="1" t="e">
        <f t="shared" si="70"/>
        <v>#N/A</v>
      </c>
      <c r="E142" s="1" t="e">
        <f t="shared" si="71"/>
        <v>#N/A</v>
      </c>
      <c r="F142" s="1" t="e">
        <f t="shared" si="72"/>
        <v>#N/A</v>
      </c>
      <c r="G142" s="1" t="e">
        <f t="shared" si="73"/>
        <v>#N/A</v>
      </c>
      <c r="H142" s="1" t="e">
        <f t="shared" si="74"/>
        <v>#N/A</v>
      </c>
      <c r="I142" s="1" t="e">
        <f t="shared" si="75"/>
        <v>#N/A</v>
      </c>
      <c r="J142" s="1" t="e">
        <f t="shared" si="76"/>
        <v>#N/A</v>
      </c>
      <c r="L142" s="1" t="e">
        <f>IF(OR(Table1[[#This Row],[Type (TX, RX, TRX, Oscillator)]]="RX", Table1[[#This Row],[Type (TX, RX, TRX, Oscillator)]]="RX FE"),Table1[[#This Row],[Frequency (GHz)]],#N/A)</f>
        <v>#N/A</v>
      </c>
      <c r="M142" s="30" t="e">
        <f>IF(OR(Table1[[#This Row],[Type (TX, RX, TRX, Oscillator)]]="RX", Table1[[#This Row],[Type (TX, RX, TRX, Oscillator)]]="RX FE"),DATE(Table1[[#This Row],[Year ]],Table1[[#This Row],[Month]],1),#N/A)</f>
        <v>#N/A</v>
      </c>
      <c r="N142" s="1" t="e">
        <f>IF(OR(Table1[[#This Row],[Type (TX, RX, TRX, Oscillator)]]="RX", Table1[[#This Row],[Type (TX, RX, TRX, Oscillator)]]="RX FE"),Table1[[#This Row],[Total Number of Elements (TX + RX)]],#N/A)</f>
        <v>#N/A</v>
      </c>
      <c r="O142" s="1" t="e">
        <f t="shared" si="77"/>
        <v>#N/A</v>
      </c>
      <c r="P142" s="1" t="e">
        <f t="shared" si="78"/>
        <v>#N/A</v>
      </c>
      <c r="Q142" s="1" t="e">
        <f t="shared" si="79"/>
        <v>#N/A</v>
      </c>
      <c r="R142" s="1" t="e">
        <f t="shared" si="80"/>
        <v>#N/A</v>
      </c>
      <c r="S142" s="1" t="e">
        <f t="shared" si="81"/>
        <v>#N/A</v>
      </c>
      <c r="T142" s="1" t="e">
        <f t="shared" si="82"/>
        <v>#N/A</v>
      </c>
      <c r="U142" s="1" t="e">
        <f t="shared" si="83"/>
        <v>#N/A</v>
      </c>
      <c r="W142" s="1">
        <f>IF(OR(Table1[[#This Row],[Type (TX, RX, TRX, Oscillator)]]="TRX",Table1[[#This Row],[Type (TX, RX, TRX, Oscillator)]]="TRX FE"),Table1[[#This Row],[Frequency (GHz)]],#N/A)</f>
        <v>5.8</v>
      </c>
      <c r="X142" s="30">
        <f>IF(OR(Table1[[#This Row],[Type (TX, RX, TRX, Oscillator)]]="TRX", Table1[[#This Row],[Type (TX, RX, TRX, Oscillator)]]="TRX FE"),DATE(Table1[[#This Row],[Year ]],Table1[[#This Row],[Month]],1),#N/A)</f>
        <v>44986</v>
      </c>
      <c r="Y142" s="1">
        <f>IF(OR(Table1[[#This Row],[Type (TX, RX, TRX, Oscillator)]]="TRX", Table1[[#This Row],[Type (TX, RX, TRX, Oscillator)]]="TRX FE"),Table1[[#This Row],[Total Number of Elements (TX + RX)]],#N/A)</f>
        <v>12</v>
      </c>
      <c r="Z142" s="1">
        <f t="shared" si="84"/>
        <v>12</v>
      </c>
      <c r="AA142" s="1" t="e">
        <f t="shared" si="85"/>
        <v>#N/A</v>
      </c>
      <c r="AB142" s="1" t="e">
        <f t="shared" si="86"/>
        <v>#N/A</v>
      </c>
      <c r="AC142" s="1" t="e">
        <f t="shared" si="87"/>
        <v>#N/A</v>
      </c>
      <c r="AD142" s="1" t="e">
        <f t="shared" si="88"/>
        <v>#N/A</v>
      </c>
      <c r="AE142" s="1" t="e">
        <f t="shared" si="89"/>
        <v>#N/A</v>
      </c>
      <c r="AF142" s="1" t="e">
        <f t="shared" si="90"/>
        <v>#N/A</v>
      </c>
      <c r="AH142" s="1" t="e">
        <f>IF(Table1[[#This Row],[Type (TX, RX, TRX, Oscillator)]]="Oscillator",Table1[[#This Row],[Frequency (GHz)]],#N/A)</f>
        <v>#N/A</v>
      </c>
      <c r="AI142" s="30" t="e">
        <f>IF(Table1[[#This Row],[Type (TX, RX, TRX, Oscillator)]]="Oscillator",DATE(Table1[[#This Row],[Year ]],Table1[[#This Row],[Month]],1),#N/A)</f>
        <v>#N/A</v>
      </c>
      <c r="AJ142" s="1" t="e">
        <f>IF(Table1[[#This Row],[Type (TX, RX, TRX, Oscillator)]]="Oscillator",Table1[[#This Row],[Total Number of Elements (TX + RX)]],#N/A)</f>
        <v>#N/A</v>
      </c>
      <c r="AK142" s="1" t="e">
        <f t="shared" si="91"/>
        <v>#N/A</v>
      </c>
      <c r="AL142" s="1" t="e">
        <f t="shared" si="92"/>
        <v>#N/A</v>
      </c>
      <c r="AM142" s="1" t="e">
        <f t="shared" si="93"/>
        <v>#N/A</v>
      </c>
      <c r="AN142" s="1" t="e">
        <f t="shared" si="94"/>
        <v>#N/A</v>
      </c>
      <c r="AO142" s="1" t="e">
        <f t="shared" si="95"/>
        <v>#N/A</v>
      </c>
      <c r="AP142" s="1" t="e">
        <f t="shared" si="96"/>
        <v>#N/A</v>
      </c>
      <c r="AQ142" s="1" t="e">
        <f t="shared" si="97"/>
        <v>#N/A</v>
      </c>
      <c r="AS142" s="1" t="e">
        <f>IF(Table1[[#This Row],[Type (TX, RX, TRX, Oscillator)]]="Relay",Table1[[#This Row],[Frequency (GHz)]],#N/A)</f>
        <v>#N/A</v>
      </c>
      <c r="AT142" s="30" t="e">
        <f>IF(Table1[[#This Row],[Type (TX, RX, TRX, Oscillator)]]="Relay",DATE(Table1[[#This Row],[Year ]],Table1[[#This Row],[Month]],1),#N/A)</f>
        <v>#N/A</v>
      </c>
      <c r="AU142" s="1" t="e">
        <f>IF(Table1[[#This Row],[Type (TX, RX, TRX, Oscillator)]]="Relay",Table1[[#This Row],[Total Number of Elements (TX + RX)]],#N/A)</f>
        <v>#N/A</v>
      </c>
      <c r="AV142" s="1" t="e">
        <f t="shared" si="98"/>
        <v>#N/A</v>
      </c>
      <c r="AW142" s="1" t="e">
        <f t="shared" si="99"/>
        <v>#N/A</v>
      </c>
      <c r="AX142" s="1" t="e">
        <f t="shared" si="100"/>
        <v>#N/A</v>
      </c>
      <c r="AY142" s="1" t="e">
        <f t="shared" si="101"/>
        <v>#N/A</v>
      </c>
      <c r="AZ142" s="1" t="e">
        <f t="shared" si="102"/>
        <v>#N/A</v>
      </c>
      <c r="BA142" s="1" t="e">
        <f t="shared" si="103"/>
        <v>#N/A</v>
      </c>
      <c r="BB142" s="1" t="e">
        <f t="shared" si="104"/>
        <v>#N/A</v>
      </c>
    </row>
    <row r="143" spans="1:54" x14ac:dyDescent="0.2">
      <c r="A143" s="1" t="e">
        <f>IF(OR(Table1[[#This Row],[Type (TX, RX, TRX, Oscillator)]]="TX", Table1[[#This Row],[Type (TX, RX, TRX, Oscillator)]]="TX FE"),Table1[[#This Row],[Frequency (GHz)]],#N/A)</f>
        <v>#N/A</v>
      </c>
      <c r="B143" s="30" t="e">
        <f>IF(OR(Table1[[#This Row],[Type (TX, RX, TRX, Oscillator)]]="TX", Table1[[#This Row],[Type (TX, RX, TRX, Oscillator)]]="TX FE"),DATE(Table1[[#This Row],[Year ]],Table1[[#This Row],[Month]],1),#N/A)</f>
        <v>#N/A</v>
      </c>
      <c r="C143" s="1" t="e">
        <f>IF(OR(Table1[[#This Row],[Type (TX, RX, TRX, Oscillator)]]="TX",Table1[[#This Row],[Type (TX, RX, TRX, Oscillator)]]="TX FE"),Table1[[#This Row],[Total Number of Elements (TX + RX)]],#N/A)</f>
        <v>#N/A</v>
      </c>
      <c r="D143" s="1" t="e">
        <f t="shared" si="70"/>
        <v>#N/A</v>
      </c>
      <c r="E143" s="1" t="e">
        <f t="shared" si="71"/>
        <v>#N/A</v>
      </c>
      <c r="F143" s="1" t="e">
        <f t="shared" si="72"/>
        <v>#N/A</v>
      </c>
      <c r="G143" s="1" t="e">
        <f t="shared" si="73"/>
        <v>#N/A</v>
      </c>
      <c r="H143" s="1" t="e">
        <f t="shared" si="74"/>
        <v>#N/A</v>
      </c>
      <c r="I143" s="1" t="e">
        <f t="shared" si="75"/>
        <v>#N/A</v>
      </c>
      <c r="J143" s="1" t="e">
        <f t="shared" si="76"/>
        <v>#N/A</v>
      </c>
      <c r="L143" s="1" t="e">
        <f>IF(OR(Table1[[#This Row],[Type (TX, RX, TRX, Oscillator)]]="RX", Table1[[#This Row],[Type (TX, RX, TRX, Oscillator)]]="RX FE"),Table1[[#This Row],[Frequency (GHz)]],#N/A)</f>
        <v>#N/A</v>
      </c>
      <c r="M143" s="30" t="e">
        <f>IF(OR(Table1[[#This Row],[Type (TX, RX, TRX, Oscillator)]]="RX", Table1[[#This Row],[Type (TX, RX, TRX, Oscillator)]]="RX FE"),DATE(Table1[[#This Row],[Year ]],Table1[[#This Row],[Month]],1),#N/A)</f>
        <v>#N/A</v>
      </c>
      <c r="N143" s="1" t="e">
        <f>IF(OR(Table1[[#This Row],[Type (TX, RX, TRX, Oscillator)]]="RX", Table1[[#This Row],[Type (TX, RX, TRX, Oscillator)]]="RX FE"),Table1[[#This Row],[Total Number of Elements (TX + RX)]],#N/A)</f>
        <v>#N/A</v>
      </c>
      <c r="O143" s="1" t="e">
        <f t="shared" si="77"/>
        <v>#N/A</v>
      </c>
      <c r="P143" s="1" t="e">
        <f t="shared" si="78"/>
        <v>#N/A</v>
      </c>
      <c r="Q143" s="1" t="e">
        <f t="shared" si="79"/>
        <v>#N/A</v>
      </c>
      <c r="R143" s="1" t="e">
        <f t="shared" si="80"/>
        <v>#N/A</v>
      </c>
      <c r="S143" s="1" t="e">
        <f t="shared" si="81"/>
        <v>#N/A</v>
      </c>
      <c r="T143" s="1" t="e">
        <f t="shared" si="82"/>
        <v>#N/A</v>
      </c>
      <c r="U143" s="1" t="e">
        <f t="shared" si="83"/>
        <v>#N/A</v>
      </c>
      <c r="W143" s="1">
        <f>IF(OR(Table1[[#This Row],[Type (TX, RX, TRX, Oscillator)]]="TRX",Table1[[#This Row],[Type (TX, RX, TRX, Oscillator)]]="TRX FE"),Table1[[#This Row],[Frequency (GHz)]],#N/A)</f>
        <v>39</v>
      </c>
      <c r="X143" s="30">
        <f>IF(OR(Table1[[#This Row],[Type (TX, RX, TRX, Oscillator)]]="TRX", Table1[[#This Row],[Type (TX, RX, TRX, Oscillator)]]="TRX FE"),DATE(Table1[[#This Row],[Year ]],Table1[[#This Row],[Month]],1),#N/A)</f>
        <v>44986</v>
      </c>
      <c r="Y143" s="1">
        <f>IF(OR(Table1[[#This Row],[Type (TX, RX, TRX, Oscillator)]]="TRX", Table1[[#This Row],[Type (TX, RX, TRX, Oscillator)]]="TRX FE"),Table1[[#This Row],[Total Number of Elements (TX + RX)]],#N/A)</f>
        <v>32</v>
      </c>
      <c r="Z143" s="1" t="e">
        <f t="shared" si="84"/>
        <v>#N/A</v>
      </c>
      <c r="AA143" s="1">
        <f t="shared" si="85"/>
        <v>32</v>
      </c>
      <c r="AB143" s="1" t="e">
        <f t="shared" si="86"/>
        <v>#N/A</v>
      </c>
      <c r="AC143" s="1" t="e">
        <f t="shared" si="87"/>
        <v>#N/A</v>
      </c>
      <c r="AD143" s="1" t="e">
        <f t="shared" si="88"/>
        <v>#N/A</v>
      </c>
      <c r="AE143" s="1" t="e">
        <f t="shared" si="89"/>
        <v>#N/A</v>
      </c>
      <c r="AF143" s="1" t="e">
        <f t="shared" si="90"/>
        <v>#N/A</v>
      </c>
      <c r="AH143" s="1" t="e">
        <f>IF(Table1[[#This Row],[Type (TX, RX, TRX, Oscillator)]]="Oscillator",Table1[[#This Row],[Frequency (GHz)]],#N/A)</f>
        <v>#N/A</v>
      </c>
      <c r="AI143" s="30" t="e">
        <f>IF(Table1[[#This Row],[Type (TX, RX, TRX, Oscillator)]]="Oscillator",DATE(Table1[[#This Row],[Year ]],Table1[[#This Row],[Month]],1),#N/A)</f>
        <v>#N/A</v>
      </c>
      <c r="AJ143" s="1" t="e">
        <f>IF(Table1[[#This Row],[Type (TX, RX, TRX, Oscillator)]]="Oscillator",Table1[[#This Row],[Total Number of Elements (TX + RX)]],#N/A)</f>
        <v>#N/A</v>
      </c>
      <c r="AK143" s="1" t="e">
        <f t="shared" si="91"/>
        <v>#N/A</v>
      </c>
      <c r="AL143" s="1" t="e">
        <f t="shared" si="92"/>
        <v>#N/A</v>
      </c>
      <c r="AM143" s="1" t="e">
        <f t="shared" si="93"/>
        <v>#N/A</v>
      </c>
      <c r="AN143" s="1" t="e">
        <f t="shared" si="94"/>
        <v>#N/A</v>
      </c>
      <c r="AO143" s="1" t="e">
        <f t="shared" si="95"/>
        <v>#N/A</v>
      </c>
      <c r="AP143" s="1" t="e">
        <f t="shared" si="96"/>
        <v>#N/A</v>
      </c>
      <c r="AQ143" s="1" t="e">
        <f t="shared" si="97"/>
        <v>#N/A</v>
      </c>
      <c r="AS143" s="1" t="e">
        <f>IF(Table1[[#This Row],[Type (TX, RX, TRX, Oscillator)]]="Relay",Table1[[#This Row],[Frequency (GHz)]],#N/A)</f>
        <v>#N/A</v>
      </c>
      <c r="AT143" s="30" t="e">
        <f>IF(Table1[[#This Row],[Type (TX, RX, TRX, Oscillator)]]="Relay",DATE(Table1[[#This Row],[Year ]],Table1[[#This Row],[Month]],1),#N/A)</f>
        <v>#N/A</v>
      </c>
      <c r="AU143" s="1" t="e">
        <f>IF(Table1[[#This Row],[Type (TX, RX, TRX, Oscillator)]]="Relay",Table1[[#This Row],[Total Number of Elements (TX + RX)]],#N/A)</f>
        <v>#N/A</v>
      </c>
      <c r="AV143" s="1" t="e">
        <f t="shared" si="98"/>
        <v>#N/A</v>
      </c>
      <c r="AW143" s="1" t="e">
        <f t="shared" si="99"/>
        <v>#N/A</v>
      </c>
      <c r="AX143" s="1" t="e">
        <f t="shared" si="100"/>
        <v>#N/A</v>
      </c>
      <c r="AY143" s="1" t="e">
        <f t="shared" si="101"/>
        <v>#N/A</v>
      </c>
      <c r="AZ143" s="1" t="e">
        <f t="shared" si="102"/>
        <v>#N/A</v>
      </c>
      <c r="BA143" s="1" t="e">
        <f t="shared" si="103"/>
        <v>#N/A</v>
      </c>
      <c r="BB143" s="1" t="e">
        <f t="shared" si="104"/>
        <v>#N/A</v>
      </c>
    </row>
    <row r="144" spans="1:54" x14ac:dyDescent="0.2">
      <c r="A144" s="1" t="e">
        <f>IF(OR(Table1[[#This Row],[Type (TX, RX, TRX, Oscillator)]]="TX", Table1[[#This Row],[Type (TX, RX, TRX, Oscillator)]]="TX FE"),Table1[[#This Row],[Frequency (GHz)]],#N/A)</f>
        <v>#N/A</v>
      </c>
      <c r="B144" s="30" t="e">
        <f>IF(OR(Table1[[#This Row],[Type (TX, RX, TRX, Oscillator)]]="TX", Table1[[#This Row],[Type (TX, RX, TRX, Oscillator)]]="TX FE"),DATE(Table1[[#This Row],[Year ]],Table1[[#This Row],[Month]],1),#N/A)</f>
        <v>#N/A</v>
      </c>
      <c r="C144" s="1" t="e">
        <f>IF(OR(Table1[[#This Row],[Type (TX, RX, TRX, Oscillator)]]="TX",Table1[[#This Row],[Type (TX, RX, TRX, Oscillator)]]="TX FE"),Table1[[#This Row],[Total Number of Elements (TX + RX)]],#N/A)</f>
        <v>#N/A</v>
      </c>
      <c r="D144" s="1" t="e">
        <f t="shared" si="70"/>
        <v>#N/A</v>
      </c>
      <c r="E144" s="1" t="e">
        <f t="shared" si="71"/>
        <v>#N/A</v>
      </c>
      <c r="F144" s="1" t="e">
        <f t="shared" si="72"/>
        <v>#N/A</v>
      </c>
      <c r="G144" s="1" t="e">
        <f t="shared" si="73"/>
        <v>#N/A</v>
      </c>
      <c r="H144" s="1" t="e">
        <f t="shared" si="74"/>
        <v>#N/A</v>
      </c>
      <c r="I144" s="1" t="e">
        <f t="shared" si="75"/>
        <v>#N/A</v>
      </c>
      <c r="J144" s="1" t="e">
        <f t="shared" si="76"/>
        <v>#N/A</v>
      </c>
      <c r="L144" s="1" t="e">
        <f>IF(OR(Table1[[#This Row],[Type (TX, RX, TRX, Oscillator)]]="RX", Table1[[#This Row],[Type (TX, RX, TRX, Oscillator)]]="RX FE"),Table1[[#This Row],[Frequency (GHz)]],#N/A)</f>
        <v>#N/A</v>
      </c>
      <c r="M144" s="30" t="e">
        <f>IF(OR(Table1[[#This Row],[Type (TX, RX, TRX, Oscillator)]]="RX", Table1[[#This Row],[Type (TX, RX, TRX, Oscillator)]]="RX FE"),DATE(Table1[[#This Row],[Year ]],Table1[[#This Row],[Month]],1),#N/A)</f>
        <v>#N/A</v>
      </c>
      <c r="N144" s="1" t="e">
        <f>IF(OR(Table1[[#This Row],[Type (TX, RX, TRX, Oscillator)]]="RX", Table1[[#This Row],[Type (TX, RX, TRX, Oscillator)]]="RX FE"),Table1[[#This Row],[Total Number of Elements (TX + RX)]],#N/A)</f>
        <v>#N/A</v>
      </c>
      <c r="O144" s="1" t="e">
        <f t="shared" si="77"/>
        <v>#N/A</v>
      </c>
      <c r="P144" s="1" t="e">
        <f t="shared" si="78"/>
        <v>#N/A</v>
      </c>
      <c r="Q144" s="1" t="e">
        <f t="shared" si="79"/>
        <v>#N/A</v>
      </c>
      <c r="R144" s="1" t="e">
        <f t="shared" si="80"/>
        <v>#N/A</v>
      </c>
      <c r="S144" s="1" t="e">
        <f t="shared" si="81"/>
        <v>#N/A</v>
      </c>
      <c r="T144" s="1" t="e">
        <f t="shared" si="82"/>
        <v>#N/A</v>
      </c>
      <c r="U144" s="1" t="e">
        <f t="shared" si="83"/>
        <v>#N/A</v>
      </c>
      <c r="W144" s="1" t="e">
        <f>IF(OR(Table1[[#This Row],[Type (TX, RX, TRX, Oscillator)]]="TRX",Table1[[#This Row],[Type (TX, RX, TRX, Oscillator)]]="TRX FE"),Table1[[#This Row],[Frequency (GHz)]],#N/A)</f>
        <v>#N/A</v>
      </c>
      <c r="X144" s="30" t="e">
        <f>IF(OR(Table1[[#This Row],[Type (TX, RX, TRX, Oscillator)]]="TRX", Table1[[#This Row],[Type (TX, RX, TRX, Oscillator)]]="TRX FE"),DATE(Table1[[#This Row],[Year ]],Table1[[#This Row],[Month]],1),#N/A)</f>
        <v>#N/A</v>
      </c>
      <c r="Y144" s="1" t="e">
        <f>IF(OR(Table1[[#This Row],[Type (TX, RX, TRX, Oscillator)]]="TRX", Table1[[#This Row],[Type (TX, RX, TRX, Oscillator)]]="TRX FE"),Table1[[#This Row],[Total Number of Elements (TX + RX)]],#N/A)</f>
        <v>#N/A</v>
      </c>
      <c r="Z144" s="1" t="e">
        <f t="shared" si="84"/>
        <v>#N/A</v>
      </c>
      <c r="AA144" s="1" t="e">
        <f t="shared" si="85"/>
        <v>#N/A</v>
      </c>
      <c r="AB144" s="1" t="e">
        <f t="shared" si="86"/>
        <v>#N/A</v>
      </c>
      <c r="AC144" s="1" t="e">
        <f t="shared" si="87"/>
        <v>#N/A</v>
      </c>
      <c r="AD144" s="1" t="e">
        <f t="shared" si="88"/>
        <v>#N/A</v>
      </c>
      <c r="AE144" s="1" t="e">
        <f t="shared" si="89"/>
        <v>#N/A</v>
      </c>
      <c r="AF144" s="1" t="e">
        <f t="shared" si="90"/>
        <v>#N/A</v>
      </c>
      <c r="AH144" s="1" t="e">
        <f>IF(Table1[[#This Row],[Type (TX, RX, TRX, Oscillator)]]="Oscillator",Table1[[#This Row],[Frequency (GHz)]],#N/A)</f>
        <v>#N/A</v>
      </c>
      <c r="AI144" s="30" t="e">
        <f>IF(Table1[[#This Row],[Type (TX, RX, TRX, Oscillator)]]="Oscillator",DATE(Table1[[#This Row],[Year ]],Table1[[#This Row],[Month]],1),#N/A)</f>
        <v>#N/A</v>
      </c>
      <c r="AJ144" s="1" t="e">
        <f>IF(Table1[[#This Row],[Type (TX, RX, TRX, Oscillator)]]="Oscillator",Table1[[#This Row],[Total Number of Elements (TX + RX)]],#N/A)</f>
        <v>#N/A</v>
      </c>
      <c r="AK144" s="1" t="e">
        <f t="shared" si="91"/>
        <v>#N/A</v>
      </c>
      <c r="AL144" s="1" t="e">
        <f t="shared" si="92"/>
        <v>#N/A</v>
      </c>
      <c r="AM144" s="1" t="e">
        <f t="shared" si="93"/>
        <v>#N/A</v>
      </c>
      <c r="AN144" s="1" t="e">
        <f t="shared" si="94"/>
        <v>#N/A</v>
      </c>
      <c r="AO144" s="1" t="e">
        <f t="shared" si="95"/>
        <v>#N/A</v>
      </c>
      <c r="AP144" s="1" t="e">
        <f t="shared" si="96"/>
        <v>#N/A</v>
      </c>
      <c r="AQ144" s="1" t="e">
        <f t="shared" si="97"/>
        <v>#N/A</v>
      </c>
      <c r="AS144" s="1">
        <f>IF(Table1[[#This Row],[Type (TX, RX, TRX, Oscillator)]]="Relay",Table1[[#This Row],[Frequency (GHz)]],#N/A)</f>
        <v>28</v>
      </c>
      <c r="AT144" s="30">
        <f>IF(Table1[[#This Row],[Type (TX, RX, TRX, Oscillator)]]="Relay",DATE(Table1[[#This Row],[Year ]],Table1[[#This Row],[Month]],1),#N/A)</f>
        <v>45047</v>
      </c>
      <c r="AU144" s="1">
        <f>IF(Table1[[#This Row],[Type (TX, RX, TRX, Oscillator)]]="Relay",Table1[[#This Row],[Total Number of Elements (TX + RX)]],#N/A)</f>
        <v>8</v>
      </c>
      <c r="AV144" s="1" t="e">
        <f t="shared" si="98"/>
        <v>#N/A</v>
      </c>
      <c r="AW144" s="1">
        <f t="shared" si="99"/>
        <v>8</v>
      </c>
      <c r="AX144" s="1" t="e">
        <f t="shared" si="100"/>
        <v>#N/A</v>
      </c>
      <c r="AY144" s="1" t="e">
        <f t="shared" si="101"/>
        <v>#N/A</v>
      </c>
      <c r="AZ144" s="1" t="e">
        <f t="shared" si="102"/>
        <v>#N/A</v>
      </c>
      <c r="BA144" s="1" t="e">
        <f t="shared" si="103"/>
        <v>#N/A</v>
      </c>
      <c r="BB144" s="1" t="e">
        <f t="shared" si="104"/>
        <v>#N/A</v>
      </c>
    </row>
    <row r="145" spans="1:54" x14ac:dyDescent="0.2">
      <c r="A145" s="1" t="e">
        <f>IF(OR(Table1[[#This Row],[Type (TX, RX, TRX, Oscillator)]]="TX", Table1[[#This Row],[Type (TX, RX, TRX, Oscillator)]]="TX FE"),Table1[[#This Row],[Frequency (GHz)]],#N/A)</f>
        <v>#N/A</v>
      </c>
      <c r="B145" s="30" t="e">
        <f>IF(OR(Table1[[#This Row],[Type (TX, RX, TRX, Oscillator)]]="TX", Table1[[#This Row],[Type (TX, RX, TRX, Oscillator)]]="TX FE"),DATE(Table1[[#This Row],[Year ]],Table1[[#This Row],[Month]],1),#N/A)</f>
        <v>#N/A</v>
      </c>
      <c r="C145" s="1" t="e">
        <f>IF(OR(Table1[[#This Row],[Type (TX, RX, TRX, Oscillator)]]="TX",Table1[[#This Row],[Type (TX, RX, TRX, Oscillator)]]="TX FE"),Table1[[#This Row],[Total Number of Elements (TX + RX)]],#N/A)</f>
        <v>#N/A</v>
      </c>
      <c r="D145" s="1" t="e">
        <f t="shared" si="70"/>
        <v>#N/A</v>
      </c>
      <c r="E145" s="1" t="e">
        <f t="shared" si="71"/>
        <v>#N/A</v>
      </c>
      <c r="F145" s="1" t="e">
        <f t="shared" si="72"/>
        <v>#N/A</v>
      </c>
      <c r="G145" s="1" t="e">
        <f t="shared" si="73"/>
        <v>#N/A</v>
      </c>
      <c r="H145" s="1" t="e">
        <f t="shared" si="74"/>
        <v>#N/A</v>
      </c>
      <c r="I145" s="1" t="e">
        <f t="shared" si="75"/>
        <v>#N/A</v>
      </c>
      <c r="J145" s="1" t="e">
        <f t="shared" si="76"/>
        <v>#N/A</v>
      </c>
      <c r="L145" s="1">
        <f>IF(OR(Table1[[#This Row],[Type (TX, RX, TRX, Oscillator)]]="RX", Table1[[#This Row],[Type (TX, RX, TRX, Oscillator)]]="RX FE"),Table1[[#This Row],[Frequency (GHz)]],#N/A)</f>
        <v>30</v>
      </c>
      <c r="M145" s="30">
        <f>IF(OR(Table1[[#This Row],[Type (TX, RX, TRX, Oscillator)]]="RX", Table1[[#This Row],[Type (TX, RX, TRX, Oscillator)]]="RX FE"),DATE(Table1[[#This Row],[Year ]],Table1[[#This Row],[Month]],1),#N/A)</f>
        <v>45047</v>
      </c>
      <c r="N145" s="1">
        <f>IF(OR(Table1[[#This Row],[Type (TX, RX, TRX, Oscillator)]]="RX", Table1[[#This Row],[Type (TX, RX, TRX, Oscillator)]]="RX FE"),Table1[[#This Row],[Total Number of Elements (TX + RX)]],#N/A)</f>
        <v>4</v>
      </c>
      <c r="O145" s="1" t="e">
        <f t="shared" si="77"/>
        <v>#N/A</v>
      </c>
      <c r="P145" s="1">
        <f t="shared" si="78"/>
        <v>4</v>
      </c>
      <c r="Q145" s="1" t="e">
        <f t="shared" si="79"/>
        <v>#N/A</v>
      </c>
      <c r="R145" s="1" t="e">
        <f t="shared" si="80"/>
        <v>#N/A</v>
      </c>
      <c r="S145" s="1" t="e">
        <f t="shared" si="81"/>
        <v>#N/A</v>
      </c>
      <c r="T145" s="1" t="e">
        <f t="shared" si="82"/>
        <v>#N/A</v>
      </c>
      <c r="U145" s="1" t="e">
        <f t="shared" si="83"/>
        <v>#N/A</v>
      </c>
      <c r="W145" s="1" t="e">
        <f>IF(OR(Table1[[#This Row],[Type (TX, RX, TRX, Oscillator)]]="TRX",Table1[[#This Row],[Type (TX, RX, TRX, Oscillator)]]="TRX FE"),Table1[[#This Row],[Frequency (GHz)]],#N/A)</f>
        <v>#N/A</v>
      </c>
      <c r="X145" s="30" t="e">
        <f>IF(OR(Table1[[#This Row],[Type (TX, RX, TRX, Oscillator)]]="TRX", Table1[[#This Row],[Type (TX, RX, TRX, Oscillator)]]="TRX FE"),DATE(Table1[[#This Row],[Year ]],Table1[[#This Row],[Month]],1),#N/A)</f>
        <v>#N/A</v>
      </c>
      <c r="Y145" s="1" t="e">
        <f>IF(OR(Table1[[#This Row],[Type (TX, RX, TRX, Oscillator)]]="TRX", Table1[[#This Row],[Type (TX, RX, TRX, Oscillator)]]="TRX FE"),Table1[[#This Row],[Total Number of Elements (TX + RX)]],#N/A)</f>
        <v>#N/A</v>
      </c>
      <c r="Z145" s="1" t="e">
        <f t="shared" si="84"/>
        <v>#N/A</v>
      </c>
      <c r="AA145" s="1" t="e">
        <f t="shared" si="85"/>
        <v>#N/A</v>
      </c>
      <c r="AB145" s="1" t="e">
        <f t="shared" si="86"/>
        <v>#N/A</v>
      </c>
      <c r="AC145" s="1" t="e">
        <f t="shared" si="87"/>
        <v>#N/A</v>
      </c>
      <c r="AD145" s="1" t="e">
        <f t="shared" si="88"/>
        <v>#N/A</v>
      </c>
      <c r="AE145" s="1" t="e">
        <f t="shared" si="89"/>
        <v>#N/A</v>
      </c>
      <c r="AF145" s="1" t="e">
        <f t="shared" si="90"/>
        <v>#N/A</v>
      </c>
      <c r="AH145" s="1" t="e">
        <f>IF(Table1[[#This Row],[Type (TX, RX, TRX, Oscillator)]]="Oscillator",Table1[[#This Row],[Frequency (GHz)]],#N/A)</f>
        <v>#N/A</v>
      </c>
      <c r="AI145" s="30" t="e">
        <f>IF(Table1[[#This Row],[Type (TX, RX, TRX, Oscillator)]]="Oscillator",DATE(Table1[[#This Row],[Year ]],Table1[[#This Row],[Month]],1),#N/A)</f>
        <v>#N/A</v>
      </c>
      <c r="AJ145" s="1" t="e">
        <f>IF(Table1[[#This Row],[Type (TX, RX, TRX, Oscillator)]]="Oscillator",Table1[[#This Row],[Total Number of Elements (TX + RX)]],#N/A)</f>
        <v>#N/A</v>
      </c>
      <c r="AK145" s="1" t="e">
        <f t="shared" si="91"/>
        <v>#N/A</v>
      </c>
      <c r="AL145" s="1" t="e">
        <f t="shared" si="92"/>
        <v>#N/A</v>
      </c>
      <c r="AM145" s="1" t="e">
        <f t="shared" si="93"/>
        <v>#N/A</v>
      </c>
      <c r="AN145" s="1" t="e">
        <f t="shared" si="94"/>
        <v>#N/A</v>
      </c>
      <c r="AO145" s="1" t="e">
        <f t="shared" si="95"/>
        <v>#N/A</v>
      </c>
      <c r="AP145" s="1" t="e">
        <f t="shared" si="96"/>
        <v>#N/A</v>
      </c>
      <c r="AQ145" s="1" t="e">
        <f t="shared" si="97"/>
        <v>#N/A</v>
      </c>
      <c r="AS145" s="1" t="e">
        <f>IF(Table1[[#This Row],[Type (TX, RX, TRX, Oscillator)]]="Relay",Table1[[#This Row],[Frequency (GHz)]],#N/A)</f>
        <v>#N/A</v>
      </c>
      <c r="AT145" s="30" t="e">
        <f>IF(Table1[[#This Row],[Type (TX, RX, TRX, Oscillator)]]="Relay",DATE(Table1[[#This Row],[Year ]],Table1[[#This Row],[Month]],1),#N/A)</f>
        <v>#N/A</v>
      </c>
      <c r="AU145" s="1" t="e">
        <f>IF(Table1[[#This Row],[Type (TX, RX, TRX, Oscillator)]]="Relay",Table1[[#This Row],[Total Number of Elements (TX + RX)]],#N/A)</f>
        <v>#N/A</v>
      </c>
      <c r="AV145" s="1" t="e">
        <f t="shared" si="98"/>
        <v>#N/A</v>
      </c>
      <c r="AW145" s="1" t="e">
        <f t="shared" si="99"/>
        <v>#N/A</v>
      </c>
      <c r="AX145" s="1" t="e">
        <f t="shared" si="100"/>
        <v>#N/A</v>
      </c>
      <c r="AY145" s="1" t="e">
        <f t="shared" si="101"/>
        <v>#N/A</v>
      </c>
      <c r="AZ145" s="1" t="e">
        <f t="shared" si="102"/>
        <v>#N/A</v>
      </c>
      <c r="BA145" s="1" t="e">
        <f t="shared" si="103"/>
        <v>#N/A</v>
      </c>
      <c r="BB145" s="1" t="e">
        <f t="shared" si="104"/>
        <v>#N/A</v>
      </c>
    </row>
    <row r="146" spans="1:54" x14ac:dyDescent="0.2">
      <c r="A146" s="1" t="e">
        <f>IF(OR(Table1[[#This Row],[Type (TX, RX, TRX, Oscillator)]]="TX", Table1[[#This Row],[Type (TX, RX, TRX, Oscillator)]]="TX FE"),Table1[[#This Row],[Frequency (GHz)]],#N/A)</f>
        <v>#N/A</v>
      </c>
      <c r="B146" s="30" t="e">
        <f>IF(OR(Table1[[#This Row],[Type (TX, RX, TRX, Oscillator)]]="TX", Table1[[#This Row],[Type (TX, RX, TRX, Oscillator)]]="TX FE"),DATE(Table1[[#This Row],[Year ]],Table1[[#This Row],[Month]],1),#N/A)</f>
        <v>#N/A</v>
      </c>
      <c r="C146" s="1" t="e">
        <f>IF(OR(Table1[[#This Row],[Type (TX, RX, TRX, Oscillator)]]="TX",Table1[[#This Row],[Type (TX, RX, TRX, Oscillator)]]="TX FE"),Table1[[#This Row],[Total Number of Elements (TX + RX)]],#N/A)</f>
        <v>#N/A</v>
      </c>
      <c r="D146" s="1" t="e">
        <f t="shared" si="70"/>
        <v>#N/A</v>
      </c>
      <c r="E146" s="1" t="e">
        <f t="shared" si="71"/>
        <v>#N/A</v>
      </c>
      <c r="F146" s="1" t="e">
        <f t="shared" si="72"/>
        <v>#N/A</v>
      </c>
      <c r="G146" s="1" t="e">
        <f t="shared" si="73"/>
        <v>#N/A</v>
      </c>
      <c r="H146" s="1" t="e">
        <f t="shared" si="74"/>
        <v>#N/A</v>
      </c>
      <c r="I146" s="1" t="e">
        <f t="shared" si="75"/>
        <v>#N/A</v>
      </c>
      <c r="J146" s="1" t="e">
        <f t="shared" si="76"/>
        <v>#N/A</v>
      </c>
      <c r="L146" s="1" t="e">
        <f>IF(OR(Table1[[#This Row],[Type (TX, RX, TRX, Oscillator)]]="RX", Table1[[#This Row],[Type (TX, RX, TRX, Oscillator)]]="RX FE"),Table1[[#This Row],[Frequency (GHz)]],#N/A)</f>
        <v>#N/A</v>
      </c>
      <c r="M146" s="30" t="e">
        <f>IF(OR(Table1[[#This Row],[Type (TX, RX, TRX, Oscillator)]]="RX", Table1[[#This Row],[Type (TX, RX, TRX, Oscillator)]]="RX FE"),DATE(Table1[[#This Row],[Year ]],Table1[[#This Row],[Month]],1),#N/A)</f>
        <v>#N/A</v>
      </c>
      <c r="N146" s="1" t="e">
        <f>IF(OR(Table1[[#This Row],[Type (TX, RX, TRX, Oscillator)]]="RX", Table1[[#This Row],[Type (TX, RX, TRX, Oscillator)]]="RX FE"),Table1[[#This Row],[Total Number of Elements (TX + RX)]],#N/A)</f>
        <v>#N/A</v>
      </c>
      <c r="O146" s="1" t="e">
        <f t="shared" si="77"/>
        <v>#N/A</v>
      </c>
      <c r="P146" s="1" t="e">
        <f t="shared" si="78"/>
        <v>#N/A</v>
      </c>
      <c r="Q146" s="1" t="e">
        <f t="shared" si="79"/>
        <v>#N/A</v>
      </c>
      <c r="R146" s="1" t="e">
        <f t="shared" si="80"/>
        <v>#N/A</v>
      </c>
      <c r="S146" s="1" t="e">
        <f t="shared" si="81"/>
        <v>#N/A</v>
      </c>
      <c r="T146" s="1" t="e">
        <f t="shared" si="82"/>
        <v>#N/A</v>
      </c>
      <c r="U146" s="1" t="e">
        <f t="shared" si="83"/>
        <v>#N/A</v>
      </c>
      <c r="W146" s="1">
        <f>IF(OR(Table1[[#This Row],[Type (TX, RX, TRX, Oscillator)]]="TRX",Table1[[#This Row],[Type (TX, RX, TRX, Oscillator)]]="TRX FE"),Table1[[#This Row],[Frequency (GHz)]],#N/A)</f>
        <v>140</v>
      </c>
      <c r="X146" s="30">
        <f>IF(OR(Table1[[#This Row],[Type (TX, RX, TRX, Oscillator)]]="TRX", Table1[[#This Row],[Type (TX, RX, TRX, Oscillator)]]="TRX FE"),DATE(Table1[[#This Row],[Year ]],Table1[[#This Row],[Month]],1),#N/A)</f>
        <v>45078</v>
      </c>
      <c r="Y146" s="1">
        <f>IF(OR(Table1[[#This Row],[Type (TX, RX, TRX, Oscillator)]]="TRX", Table1[[#This Row],[Type (TX, RX, TRX, Oscillator)]]="TRX FE"),Table1[[#This Row],[Total Number of Elements (TX + RX)]],#N/A)</f>
        <v>126</v>
      </c>
      <c r="Z146" s="1" t="e">
        <f t="shared" si="84"/>
        <v>#N/A</v>
      </c>
      <c r="AA146" s="1" t="e">
        <f t="shared" si="85"/>
        <v>#N/A</v>
      </c>
      <c r="AB146" s="1" t="e">
        <f t="shared" si="86"/>
        <v>#N/A</v>
      </c>
      <c r="AC146" s="1" t="e">
        <f t="shared" si="87"/>
        <v>#N/A</v>
      </c>
      <c r="AD146" s="1">
        <f t="shared" si="88"/>
        <v>126</v>
      </c>
      <c r="AE146" s="1" t="e">
        <f t="shared" si="89"/>
        <v>#N/A</v>
      </c>
      <c r="AF146" s="1" t="e">
        <f t="shared" si="90"/>
        <v>#N/A</v>
      </c>
      <c r="AH146" s="1" t="e">
        <f>IF(Table1[[#This Row],[Type (TX, RX, TRX, Oscillator)]]="Oscillator",Table1[[#This Row],[Frequency (GHz)]],#N/A)</f>
        <v>#N/A</v>
      </c>
      <c r="AI146" s="30" t="e">
        <f>IF(Table1[[#This Row],[Type (TX, RX, TRX, Oscillator)]]="Oscillator",DATE(Table1[[#This Row],[Year ]],Table1[[#This Row],[Month]],1),#N/A)</f>
        <v>#N/A</v>
      </c>
      <c r="AJ146" s="1" t="e">
        <f>IF(Table1[[#This Row],[Type (TX, RX, TRX, Oscillator)]]="Oscillator",Table1[[#This Row],[Total Number of Elements (TX + RX)]],#N/A)</f>
        <v>#N/A</v>
      </c>
      <c r="AK146" s="1" t="e">
        <f t="shared" si="91"/>
        <v>#N/A</v>
      </c>
      <c r="AL146" s="1" t="e">
        <f t="shared" si="92"/>
        <v>#N/A</v>
      </c>
      <c r="AM146" s="1" t="e">
        <f t="shared" si="93"/>
        <v>#N/A</v>
      </c>
      <c r="AN146" s="1" t="e">
        <f t="shared" si="94"/>
        <v>#N/A</v>
      </c>
      <c r="AO146" s="1" t="e">
        <f t="shared" si="95"/>
        <v>#N/A</v>
      </c>
      <c r="AP146" s="1" t="e">
        <f t="shared" si="96"/>
        <v>#N/A</v>
      </c>
      <c r="AQ146" s="1" t="e">
        <f t="shared" si="97"/>
        <v>#N/A</v>
      </c>
      <c r="AS146" s="1" t="e">
        <f>IF(Table1[[#This Row],[Type (TX, RX, TRX, Oscillator)]]="Relay",Table1[[#This Row],[Frequency (GHz)]],#N/A)</f>
        <v>#N/A</v>
      </c>
      <c r="AT146" s="30" t="e">
        <f>IF(Table1[[#This Row],[Type (TX, RX, TRX, Oscillator)]]="Relay",DATE(Table1[[#This Row],[Year ]],Table1[[#This Row],[Month]],1),#N/A)</f>
        <v>#N/A</v>
      </c>
      <c r="AU146" s="1" t="e">
        <f>IF(Table1[[#This Row],[Type (TX, RX, TRX, Oscillator)]]="Relay",Table1[[#This Row],[Total Number of Elements (TX + RX)]],#N/A)</f>
        <v>#N/A</v>
      </c>
      <c r="AV146" s="1" t="e">
        <f t="shared" si="98"/>
        <v>#N/A</v>
      </c>
      <c r="AW146" s="1" t="e">
        <f t="shared" si="99"/>
        <v>#N/A</v>
      </c>
      <c r="AX146" s="1" t="e">
        <f t="shared" si="100"/>
        <v>#N/A</v>
      </c>
      <c r="AY146" s="1" t="e">
        <f t="shared" si="101"/>
        <v>#N/A</v>
      </c>
      <c r="AZ146" s="1" t="e">
        <f t="shared" si="102"/>
        <v>#N/A</v>
      </c>
      <c r="BA146" s="1" t="e">
        <f t="shared" si="103"/>
        <v>#N/A</v>
      </c>
      <c r="BB146" s="1" t="e">
        <f t="shared" si="104"/>
        <v>#N/A</v>
      </c>
    </row>
    <row r="147" spans="1:54" x14ac:dyDescent="0.2">
      <c r="A147" s="1" t="e">
        <f>IF(OR(Table1[[#This Row],[Type (TX, RX, TRX, Oscillator)]]="TX", Table1[[#This Row],[Type (TX, RX, TRX, Oscillator)]]="TX FE"),Table1[[#This Row],[Frequency (GHz)]],#N/A)</f>
        <v>#N/A</v>
      </c>
      <c r="B147" s="30" t="e">
        <f>IF(OR(Table1[[#This Row],[Type (TX, RX, TRX, Oscillator)]]="TX", Table1[[#This Row],[Type (TX, RX, TRX, Oscillator)]]="TX FE"),DATE(Table1[[#This Row],[Year ]],Table1[[#This Row],[Month]],1),#N/A)</f>
        <v>#N/A</v>
      </c>
      <c r="C147" s="1" t="e">
        <f>IF(OR(Table1[[#This Row],[Type (TX, RX, TRX, Oscillator)]]="TX",Table1[[#This Row],[Type (TX, RX, TRX, Oscillator)]]="TX FE"),Table1[[#This Row],[Total Number of Elements (TX + RX)]],#N/A)</f>
        <v>#N/A</v>
      </c>
      <c r="D147" s="1" t="e">
        <f t="shared" si="70"/>
        <v>#N/A</v>
      </c>
      <c r="E147" s="1" t="e">
        <f t="shared" si="71"/>
        <v>#N/A</v>
      </c>
      <c r="F147" s="1" t="e">
        <f t="shared" si="72"/>
        <v>#N/A</v>
      </c>
      <c r="G147" s="1" t="e">
        <f t="shared" si="73"/>
        <v>#N/A</v>
      </c>
      <c r="H147" s="1" t="e">
        <f t="shared" si="74"/>
        <v>#N/A</v>
      </c>
      <c r="I147" s="1" t="e">
        <f t="shared" si="75"/>
        <v>#N/A</v>
      </c>
      <c r="J147" s="1" t="e">
        <f t="shared" si="76"/>
        <v>#N/A</v>
      </c>
      <c r="L147" s="1" t="e">
        <f>IF(OR(Table1[[#This Row],[Type (TX, RX, TRX, Oscillator)]]="RX", Table1[[#This Row],[Type (TX, RX, TRX, Oscillator)]]="RX FE"),Table1[[#This Row],[Frequency (GHz)]],#N/A)</f>
        <v>#N/A</v>
      </c>
      <c r="M147" s="30" t="e">
        <f>IF(OR(Table1[[#This Row],[Type (TX, RX, TRX, Oscillator)]]="RX", Table1[[#This Row],[Type (TX, RX, TRX, Oscillator)]]="RX FE"),DATE(Table1[[#This Row],[Year ]],Table1[[#This Row],[Month]],1),#N/A)</f>
        <v>#N/A</v>
      </c>
      <c r="N147" s="1" t="e">
        <f>IF(OR(Table1[[#This Row],[Type (TX, RX, TRX, Oscillator)]]="RX", Table1[[#This Row],[Type (TX, RX, TRX, Oscillator)]]="RX FE"),Table1[[#This Row],[Total Number of Elements (TX + RX)]],#N/A)</f>
        <v>#N/A</v>
      </c>
      <c r="O147" s="1" t="e">
        <f t="shared" si="77"/>
        <v>#N/A</v>
      </c>
      <c r="P147" s="1" t="e">
        <f t="shared" si="78"/>
        <v>#N/A</v>
      </c>
      <c r="Q147" s="1" t="e">
        <f t="shared" si="79"/>
        <v>#N/A</v>
      </c>
      <c r="R147" s="1" t="e">
        <f t="shared" si="80"/>
        <v>#N/A</v>
      </c>
      <c r="S147" s="1" t="e">
        <f t="shared" si="81"/>
        <v>#N/A</v>
      </c>
      <c r="T147" s="1" t="e">
        <f t="shared" si="82"/>
        <v>#N/A</v>
      </c>
      <c r="U147" s="1" t="e">
        <f t="shared" si="83"/>
        <v>#N/A</v>
      </c>
      <c r="W147" s="1" t="e">
        <f>IF(OR(Table1[[#This Row],[Type (TX, RX, TRX, Oscillator)]]="TRX",Table1[[#This Row],[Type (TX, RX, TRX, Oscillator)]]="TRX FE"),Table1[[#This Row],[Frequency (GHz)]],#N/A)</f>
        <v>#N/A</v>
      </c>
      <c r="X147" s="30" t="e">
        <f>IF(OR(Table1[[#This Row],[Type (TX, RX, TRX, Oscillator)]]="TRX", Table1[[#This Row],[Type (TX, RX, TRX, Oscillator)]]="TRX FE"),DATE(Table1[[#This Row],[Year ]],Table1[[#This Row],[Month]],1),#N/A)</f>
        <v>#N/A</v>
      </c>
      <c r="Y147" s="1" t="e">
        <f>IF(OR(Table1[[#This Row],[Type (TX, RX, TRX, Oscillator)]]="TRX", Table1[[#This Row],[Type (TX, RX, TRX, Oscillator)]]="TRX FE"),Table1[[#This Row],[Total Number of Elements (TX + RX)]],#N/A)</f>
        <v>#N/A</v>
      </c>
      <c r="Z147" s="1" t="e">
        <f t="shared" si="84"/>
        <v>#N/A</v>
      </c>
      <c r="AA147" s="1" t="e">
        <f t="shared" si="85"/>
        <v>#N/A</v>
      </c>
      <c r="AB147" s="1" t="e">
        <f t="shared" si="86"/>
        <v>#N/A</v>
      </c>
      <c r="AC147" s="1" t="e">
        <f t="shared" si="87"/>
        <v>#N/A</v>
      </c>
      <c r="AD147" s="1" t="e">
        <f t="shared" si="88"/>
        <v>#N/A</v>
      </c>
      <c r="AE147" s="1" t="e">
        <f t="shared" si="89"/>
        <v>#N/A</v>
      </c>
      <c r="AF147" s="1" t="e">
        <f t="shared" si="90"/>
        <v>#N/A</v>
      </c>
      <c r="AH147" s="1" t="e">
        <f>IF(Table1[[#This Row],[Type (TX, RX, TRX, Oscillator)]]="Oscillator",Table1[[#This Row],[Frequency (GHz)]],#N/A)</f>
        <v>#N/A</v>
      </c>
      <c r="AI147" s="30" t="e">
        <f>IF(Table1[[#This Row],[Type (TX, RX, TRX, Oscillator)]]="Oscillator",DATE(Table1[[#This Row],[Year ]],Table1[[#This Row],[Month]],1),#N/A)</f>
        <v>#N/A</v>
      </c>
      <c r="AJ147" s="1" t="e">
        <f>IF(Table1[[#This Row],[Type (TX, RX, TRX, Oscillator)]]="Oscillator",Table1[[#This Row],[Total Number of Elements (TX + RX)]],#N/A)</f>
        <v>#N/A</v>
      </c>
      <c r="AK147" s="1" t="e">
        <f t="shared" si="91"/>
        <v>#N/A</v>
      </c>
      <c r="AL147" s="1" t="e">
        <f t="shared" si="92"/>
        <v>#N/A</v>
      </c>
      <c r="AM147" s="1" t="e">
        <f t="shared" si="93"/>
        <v>#N/A</v>
      </c>
      <c r="AN147" s="1" t="e">
        <f t="shared" si="94"/>
        <v>#N/A</v>
      </c>
      <c r="AO147" s="1" t="e">
        <f t="shared" si="95"/>
        <v>#N/A</v>
      </c>
      <c r="AP147" s="1" t="e">
        <f t="shared" si="96"/>
        <v>#N/A</v>
      </c>
      <c r="AQ147" s="1" t="e">
        <f t="shared" si="97"/>
        <v>#N/A</v>
      </c>
      <c r="AS147" s="1" t="e">
        <f>IF(Table1[[#This Row],[Type (TX, RX, TRX, Oscillator)]]="Relay",Table1[[#This Row],[Frequency (GHz)]],#N/A)</f>
        <v>#N/A</v>
      </c>
      <c r="AT147" s="30" t="e">
        <f>IF(Table1[[#This Row],[Type (TX, RX, TRX, Oscillator)]]="Relay",DATE(Table1[[#This Row],[Year ]],Table1[[#This Row],[Month]],1),#N/A)</f>
        <v>#N/A</v>
      </c>
      <c r="AU147" s="1" t="e">
        <f>IF(Table1[[#This Row],[Type (TX, RX, TRX, Oscillator)]]="Relay",Table1[[#This Row],[Total Number of Elements (TX + RX)]],#N/A)</f>
        <v>#N/A</v>
      </c>
      <c r="AV147" s="1" t="e">
        <f t="shared" si="98"/>
        <v>#N/A</v>
      </c>
      <c r="AW147" s="1" t="e">
        <f t="shared" si="99"/>
        <v>#N/A</v>
      </c>
      <c r="AX147" s="1" t="e">
        <f t="shared" si="100"/>
        <v>#N/A</v>
      </c>
      <c r="AY147" s="1" t="e">
        <f t="shared" si="101"/>
        <v>#N/A</v>
      </c>
      <c r="AZ147" s="1" t="e">
        <f t="shared" si="102"/>
        <v>#N/A</v>
      </c>
      <c r="BA147" s="1" t="e">
        <f t="shared" si="103"/>
        <v>#N/A</v>
      </c>
      <c r="BB147" s="1" t="e">
        <f t="shared" si="104"/>
        <v>#N/A</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Readme</vt:lpstr>
      <vt:lpstr>Data</vt:lpstr>
      <vt:lpstr>Plots</vt:lpstr>
      <vt:lpstr>Plot_Data_Element_Size</vt:lpstr>
      <vt:lpstr>Plot_Data_Power</vt:lpstr>
      <vt:lpstr>Plot_Data_Integration</vt:lpstr>
      <vt:lpstr>Plot_data_time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Yuqi Liu</dc:creator>
  <cp:keywords/>
  <dc:description/>
  <cp:lastModifiedBy>Turner  Caroline</cp:lastModifiedBy>
  <cp:revision/>
  <cp:lastPrinted>2023-08-31T10:23:09Z</cp:lastPrinted>
  <dcterms:created xsi:type="dcterms:W3CDTF">2015-06-05T18:17:20Z</dcterms:created>
  <dcterms:modified xsi:type="dcterms:W3CDTF">2024-01-17T12:35:06Z</dcterms:modified>
  <cp:category/>
  <cp:contentStatus/>
</cp:coreProperties>
</file>