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autoCompressPictures="0"/>
  <mc:AlternateContent xmlns:mc="http://schemas.openxmlformats.org/markup-compatibility/2006">
    <mc:Choice Requires="x15">
      <x15ac:absPath xmlns:x15ac="http://schemas.microsoft.com/office/spreadsheetml/2010/11/ac" url="/Users/lukas/polybox/Cosmic/manuscript/"/>
    </mc:Choice>
  </mc:AlternateContent>
  <bookViews>
    <workbookView xWindow="840" yWindow="460" windowWidth="38220" windowHeight="26500" tabRatio="500"/>
  </bookViews>
  <sheets>
    <sheet name="Samples_DONE" sheetId="6" r:id="rId1"/>
    <sheet name="zones" sheetId="4" r:id="rId2"/>
    <sheet name="D14C individuals" sheetId="1" r:id="rId3"/>
    <sheet name="Table (774 only)" sheetId="2" r:id="rId4"/>
    <sheet name="Fitting parameters" sheetId="5" r:id="rId5"/>
    <sheet name="D14C zones (774 only)" sheetId="3" r:id="rId6"/>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U30" i="6" l="1"/>
  <c r="T3" i="6"/>
  <c r="H23" i="4"/>
  <c r="H14" i="4"/>
  <c r="H6" i="4"/>
  <c r="H9" i="4"/>
  <c r="H4" i="4"/>
  <c r="H5" i="4"/>
  <c r="H2" i="4"/>
  <c r="H3" i="4"/>
  <c r="H7" i="4"/>
  <c r="H8" i="4"/>
  <c r="H11" i="4"/>
  <c r="H22" i="4"/>
  <c r="H21" i="4"/>
  <c r="H20" i="4"/>
  <c r="H19" i="4"/>
  <c r="H12" i="4"/>
  <c r="H13" i="4"/>
  <c r="H15" i="4"/>
  <c r="H16" i="4"/>
  <c r="H18" i="4"/>
  <c r="H24" i="4"/>
  <c r="H34" i="4"/>
  <c r="H26" i="4"/>
  <c r="H27" i="4"/>
  <c r="H25" i="4"/>
  <c r="H30" i="4"/>
  <c r="H31" i="4"/>
  <c r="H28" i="4"/>
  <c r="H29" i="4"/>
  <c r="H32" i="4"/>
  <c r="H33" i="4"/>
  <c r="H42" i="4"/>
  <c r="H35" i="4"/>
  <c r="H41" i="4"/>
  <c r="J49" i="1"/>
  <c r="K25" i="2"/>
  <c r="H49" i="1"/>
  <c r="I25" i="2"/>
  <c r="AN49" i="1"/>
  <c r="K23" i="2"/>
  <c r="AL49" i="1"/>
  <c r="I23" i="2"/>
  <c r="AN17" i="3"/>
  <c r="I15" i="2"/>
  <c r="O17" i="3"/>
  <c r="K7" i="2"/>
  <c r="M17" i="3"/>
  <c r="I7" i="2"/>
  <c r="AP17" i="3"/>
  <c r="K15" i="2"/>
  <c r="K13" i="2"/>
  <c r="I13" i="2"/>
  <c r="AG17" i="3"/>
  <c r="K11" i="2"/>
  <c r="AE17" i="3"/>
  <c r="I11" i="2"/>
  <c r="X17" i="3"/>
  <c r="K9" i="2"/>
  <c r="V17" i="3"/>
  <c r="I9" i="2"/>
  <c r="AF17" i="1"/>
  <c r="AI17" i="1"/>
  <c r="AL17" i="1"/>
  <c r="AO17" i="1"/>
  <c r="AR17" i="1"/>
  <c r="AU17" i="1"/>
  <c r="AH31" i="1"/>
  <c r="N13" i="2"/>
  <c r="AF31" i="1"/>
  <c r="L13" i="2"/>
  <c r="BV17" i="1"/>
  <c r="BM17" i="1"/>
  <c r="BD17" i="1"/>
  <c r="BG17" i="1"/>
  <c r="BJ17" i="1"/>
  <c r="BP17" i="1"/>
  <c r="BY17" i="1"/>
  <c r="CB17" i="1"/>
  <c r="CH17" i="1"/>
  <c r="AZ31" i="1"/>
  <c r="N11" i="2"/>
  <c r="AX31" i="1"/>
  <c r="L11" i="2"/>
  <c r="CN17" i="1"/>
  <c r="CQ17" i="1"/>
  <c r="CT17" i="1"/>
  <c r="CW17" i="1"/>
  <c r="CZ17" i="1"/>
  <c r="DF17" i="1"/>
  <c r="CP31" i="1"/>
  <c r="N9" i="2"/>
  <c r="CN31" i="1"/>
  <c r="L9" i="2"/>
  <c r="DO17" i="1"/>
  <c r="N7" i="2"/>
  <c r="DL17" i="1"/>
  <c r="L7" i="2"/>
  <c r="DN17" i="1"/>
  <c r="AH17" i="1"/>
  <c r="AF18" i="1"/>
  <c r="AH18" i="1"/>
  <c r="AF20" i="1"/>
  <c r="AH20" i="1"/>
  <c r="AF21" i="1"/>
  <c r="AH21" i="1"/>
  <c r="AF22" i="1"/>
  <c r="AH22" i="1"/>
  <c r="AF23" i="1"/>
  <c r="AH23" i="1"/>
  <c r="AF24" i="1"/>
  <c r="AH24" i="1"/>
  <c r="AF25" i="1"/>
  <c r="AH25" i="1"/>
  <c r="AF26" i="1"/>
  <c r="AH26" i="1"/>
  <c r="AF27" i="1"/>
  <c r="AH27" i="1"/>
  <c r="AF28" i="1"/>
  <c r="AH28" i="1"/>
  <c r="AF29" i="1"/>
  <c r="AH29" i="1"/>
  <c r="W15" i="1"/>
  <c r="W17" i="1"/>
  <c r="T17" i="1"/>
  <c r="Q17" i="1"/>
  <c r="N17" i="1"/>
  <c r="K17" i="1"/>
  <c r="H17" i="1"/>
  <c r="E17" i="1"/>
  <c r="B17" i="1"/>
  <c r="AC17" i="1"/>
  <c r="E48" i="1"/>
  <c r="B48" i="1"/>
  <c r="K48" i="1"/>
  <c r="AI48" i="1"/>
  <c r="AF48" i="1"/>
  <c r="AC48" i="1"/>
  <c r="Z48" i="1"/>
  <c r="W48" i="1"/>
  <c r="T48" i="1"/>
  <c r="Q48" i="1"/>
  <c r="N48" i="1"/>
  <c r="AO48" i="1"/>
  <c r="N23" i="2"/>
  <c r="N25" i="2"/>
  <c r="H48" i="1"/>
  <c r="L25" i="2"/>
  <c r="AL48" i="1"/>
  <c r="L23" i="2"/>
  <c r="Q25" i="2"/>
  <c r="O25" i="2"/>
  <c r="H10" i="2"/>
  <c r="H11" i="2"/>
  <c r="H12" i="2"/>
  <c r="H26" i="2"/>
  <c r="H25" i="2"/>
  <c r="H24" i="2"/>
  <c r="H23" i="2"/>
  <c r="H16" i="2"/>
  <c r="H15" i="2"/>
  <c r="H14" i="2"/>
  <c r="H13" i="2"/>
  <c r="H9" i="2"/>
  <c r="H8" i="2"/>
  <c r="H7" i="2"/>
  <c r="M25" i="2"/>
  <c r="J48" i="1"/>
  <c r="J63" i="1"/>
  <c r="H63" i="1"/>
  <c r="V16" i="3"/>
  <c r="B16" i="3"/>
  <c r="D16" i="3"/>
  <c r="O16" i="3"/>
  <c r="M15" i="2"/>
  <c r="M13" i="2"/>
  <c r="M11" i="2"/>
  <c r="M9" i="2"/>
  <c r="B17" i="3"/>
  <c r="AN16" i="3"/>
  <c r="B41" i="3"/>
  <c r="G19" i="3"/>
  <c r="AQ21" i="3"/>
  <c r="AQ22" i="3"/>
  <c r="AQ23" i="3"/>
  <c r="AS22" i="3"/>
  <c r="AS21" i="3"/>
  <c r="AT23" i="3"/>
  <c r="AJ20" i="3"/>
  <c r="G21" i="3"/>
  <c r="G22" i="3"/>
  <c r="H23" i="3"/>
  <c r="E21" i="3"/>
  <c r="E22" i="3"/>
  <c r="F23" i="3"/>
  <c r="D17" i="3"/>
  <c r="G20" i="3"/>
  <c r="R21" i="3"/>
  <c r="R22" i="3"/>
  <c r="S23" i="3"/>
  <c r="D35" i="3"/>
  <c r="B35" i="3"/>
  <c r="D34" i="3"/>
  <c r="B34" i="3"/>
  <c r="D33" i="3"/>
  <c r="B33" i="3"/>
  <c r="D32" i="3"/>
  <c r="B32" i="3"/>
  <c r="D31" i="3"/>
  <c r="B31" i="3"/>
  <c r="D30" i="3"/>
  <c r="B30" i="3"/>
  <c r="D29" i="3"/>
  <c r="B29" i="3"/>
  <c r="D28" i="3"/>
  <c r="B28" i="3"/>
  <c r="D27" i="3"/>
  <c r="B27" i="3"/>
  <c r="D26" i="3"/>
  <c r="B26" i="3"/>
  <c r="AP16" i="3"/>
  <c r="AS19" i="3"/>
  <c r="C41" i="3"/>
  <c r="AJ21" i="3"/>
  <c r="AJ22" i="3"/>
  <c r="AK23" i="3"/>
  <c r="AH21" i="3"/>
  <c r="AH22" i="3"/>
  <c r="AI23" i="3"/>
  <c r="AE16" i="3"/>
  <c r="O13" i="2"/>
  <c r="AG16" i="3"/>
  <c r="AJ19" i="3"/>
  <c r="AA21" i="3"/>
  <c r="AA22" i="3"/>
  <c r="AB23" i="3"/>
  <c r="Y21" i="3"/>
  <c r="Y22" i="3"/>
  <c r="Z23" i="3"/>
  <c r="AA20" i="3"/>
  <c r="X16" i="3"/>
  <c r="AA19" i="3"/>
  <c r="P21" i="3"/>
  <c r="P22" i="3"/>
  <c r="Q23" i="3"/>
  <c r="M16" i="3"/>
  <c r="Z18" i="1"/>
  <c r="CP18" i="1"/>
  <c r="BV18" i="1"/>
  <c r="BX18" i="1"/>
  <c r="BY18" i="1"/>
  <c r="CA18" i="1"/>
  <c r="AL18" i="1"/>
  <c r="AN18" i="1"/>
  <c r="CB18" i="1"/>
  <c r="CD18" i="1"/>
  <c r="CN18" i="1"/>
  <c r="CQ18" i="1"/>
  <c r="CS18" i="1"/>
  <c r="CT18" i="1"/>
  <c r="CV18" i="1"/>
  <c r="CW18" i="1"/>
  <c r="CY18" i="1"/>
  <c r="CZ18" i="1"/>
  <c r="DB18" i="1"/>
  <c r="DC18" i="1"/>
  <c r="DE18" i="1"/>
  <c r="DF18" i="1"/>
  <c r="DH18" i="1"/>
  <c r="AO18" i="1"/>
  <c r="AQ18" i="1"/>
  <c r="AR18" i="1"/>
  <c r="AT18" i="1"/>
  <c r="DI18" i="1"/>
  <c r="DK18" i="1"/>
  <c r="CH18" i="1"/>
  <c r="CJ18" i="1"/>
  <c r="CK18" i="1"/>
  <c r="CM18" i="1"/>
  <c r="AU18" i="1"/>
  <c r="AI18" i="1"/>
  <c r="BP18" i="1"/>
  <c r="BM18" i="1"/>
  <c r="BJ18" i="1"/>
  <c r="BG18" i="1"/>
  <c r="BD18" i="1"/>
  <c r="DO18" i="1"/>
  <c r="AW18" i="1"/>
  <c r="BI18" i="1"/>
  <c r="BL18" i="1"/>
  <c r="BO18" i="1"/>
  <c r="BR18" i="1"/>
  <c r="AK18" i="1"/>
  <c r="B18" i="1"/>
  <c r="D18" i="1"/>
  <c r="E18" i="1"/>
  <c r="G18" i="1"/>
  <c r="H18" i="1"/>
  <c r="J18" i="1"/>
  <c r="K18" i="1"/>
  <c r="M18" i="1"/>
  <c r="N18" i="1"/>
  <c r="P18" i="1"/>
  <c r="Q18" i="1"/>
  <c r="S18" i="1"/>
  <c r="T18" i="1"/>
  <c r="V18" i="1"/>
  <c r="Q49" i="1"/>
  <c r="S49" i="1"/>
  <c r="T49" i="1"/>
  <c r="V49" i="1"/>
  <c r="W49" i="1"/>
  <c r="Y49" i="1"/>
  <c r="Z49" i="1"/>
  <c r="AB49" i="1"/>
  <c r="AC49" i="1"/>
  <c r="AE49" i="1"/>
  <c r="AF49" i="1"/>
  <c r="AH49" i="1"/>
  <c r="AI49" i="1"/>
  <c r="N49" i="1"/>
  <c r="AO49" i="1"/>
  <c r="AK49" i="1"/>
  <c r="E49" i="1"/>
  <c r="B49" i="1"/>
  <c r="K49" i="1"/>
  <c r="P49" i="1"/>
  <c r="G49" i="1"/>
  <c r="D49" i="1"/>
  <c r="DL18" i="1"/>
  <c r="DN18" i="1"/>
  <c r="BF18" i="1"/>
  <c r="W18" i="1"/>
  <c r="AC18" i="1"/>
  <c r="Y18" i="1"/>
  <c r="AB18" i="1"/>
  <c r="AE26" i="3"/>
  <c r="AG26" i="3"/>
  <c r="AE27" i="3"/>
  <c r="AG27" i="3"/>
  <c r="AE28" i="3"/>
  <c r="AG28" i="3"/>
  <c r="AE29" i="3"/>
  <c r="AG29" i="3"/>
  <c r="AE30" i="3"/>
  <c r="AG30" i="3"/>
  <c r="AE31" i="3"/>
  <c r="AG31" i="3"/>
  <c r="AE32" i="3"/>
  <c r="AG32" i="3"/>
  <c r="AE33" i="3"/>
  <c r="AG33" i="3"/>
  <c r="AE34" i="3"/>
  <c r="AG34" i="3"/>
  <c r="AE35" i="3"/>
  <c r="AG35" i="3"/>
  <c r="V26" i="3"/>
  <c r="X26" i="3"/>
  <c r="AN26" i="3"/>
  <c r="AP26" i="3"/>
  <c r="V27" i="3"/>
  <c r="X27" i="3"/>
  <c r="AN27" i="3"/>
  <c r="AP27" i="3"/>
  <c r="V28" i="3"/>
  <c r="X28" i="3"/>
  <c r="AN28" i="3"/>
  <c r="AP28" i="3"/>
  <c r="V29" i="3"/>
  <c r="X29" i="3"/>
  <c r="AN29" i="3"/>
  <c r="AP29" i="3"/>
  <c r="V30" i="3"/>
  <c r="X30" i="3"/>
  <c r="AN30" i="3"/>
  <c r="AP30" i="3"/>
  <c r="V31" i="3"/>
  <c r="X31" i="3"/>
  <c r="AN31" i="3"/>
  <c r="AP31" i="3"/>
  <c r="V32" i="3"/>
  <c r="X32" i="3"/>
  <c r="AN32" i="3"/>
  <c r="AP32" i="3"/>
  <c r="V33" i="3"/>
  <c r="X33" i="3"/>
  <c r="AN33" i="3"/>
  <c r="AP33" i="3"/>
  <c r="V34" i="3"/>
  <c r="X34" i="3"/>
  <c r="AN34" i="3"/>
  <c r="AP34" i="3"/>
  <c r="V35" i="3"/>
  <c r="X35" i="3"/>
  <c r="AN35" i="3"/>
  <c r="AP35" i="3"/>
  <c r="M26" i="3"/>
  <c r="O35" i="3"/>
  <c r="M35" i="3"/>
  <c r="O34" i="3"/>
  <c r="M34" i="3"/>
  <c r="O33" i="3"/>
  <c r="M33" i="3"/>
  <c r="O32" i="3"/>
  <c r="M32" i="3"/>
  <c r="O31" i="3"/>
  <c r="M31" i="3"/>
  <c r="O30" i="3"/>
  <c r="M30" i="3"/>
  <c r="O29" i="3"/>
  <c r="M29" i="3"/>
  <c r="O28" i="3"/>
  <c r="M28" i="3"/>
  <c r="O27" i="3"/>
  <c r="M27" i="3"/>
  <c r="O26" i="3"/>
  <c r="CP17" i="1"/>
  <c r="CA17" i="1"/>
  <c r="AH48" i="1"/>
  <c r="AB48" i="1"/>
  <c r="DT10" i="1"/>
  <c r="DT9" i="1"/>
  <c r="S48" i="1"/>
  <c r="V48" i="1"/>
  <c r="Y48" i="1"/>
  <c r="AE48" i="1"/>
  <c r="AK48" i="1"/>
  <c r="AN48" i="1"/>
  <c r="DV9" i="1"/>
  <c r="P48" i="1"/>
  <c r="G48" i="1"/>
  <c r="D48" i="1"/>
  <c r="Z17" i="1"/>
  <c r="DT6" i="1"/>
  <c r="AB17" i="1"/>
  <c r="DV5" i="1"/>
  <c r="BF17" i="1"/>
  <c r="BI17" i="1"/>
  <c r="BL17" i="1"/>
  <c r="BO17" i="1"/>
  <c r="BR17" i="1"/>
  <c r="AK17" i="1"/>
  <c r="BX17" i="1"/>
  <c r="AN17" i="1"/>
  <c r="CD17" i="1"/>
  <c r="CS17" i="1"/>
  <c r="CV17" i="1"/>
  <c r="CY17" i="1"/>
  <c r="DB17" i="1"/>
  <c r="DC17" i="1"/>
  <c r="DE17" i="1"/>
  <c r="DH17" i="1"/>
  <c r="AQ17" i="1"/>
  <c r="AT17" i="1"/>
  <c r="DI17" i="1"/>
  <c r="DK17" i="1"/>
  <c r="CJ17" i="1"/>
  <c r="CK17" i="1"/>
  <c r="CM17" i="1"/>
  <c r="AW17" i="1"/>
  <c r="G17" i="1"/>
  <c r="J17" i="1"/>
  <c r="M17" i="1"/>
  <c r="P17" i="1"/>
  <c r="S17" i="1"/>
  <c r="V17" i="1"/>
  <c r="Y17" i="1"/>
  <c r="D17" i="1"/>
  <c r="BG21" i="1"/>
  <c r="BD21" i="1"/>
  <c r="AX21" i="1"/>
  <c r="AU21" i="1"/>
  <c r="CH21" i="1"/>
  <c r="AR21" i="1"/>
  <c r="AO21" i="1"/>
  <c r="CE21" i="1"/>
  <c r="DF21" i="1"/>
  <c r="CZ21" i="1"/>
  <c r="CW21" i="1"/>
  <c r="CT21" i="1"/>
  <c r="CQ21" i="1"/>
  <c r="CN21" i="1"/>
  <c r="CB21" i="1"/>
  <c r="AL21" i="1"/>
  <c r="BY21" i="1"/>
  <c r="BV21" i="1"/>
  <c r="AI21" i="1"/>
  <c r="BS21" i="1"/>
  <c r="BP21" i="1"/>
  <c r="BM21" i="1"/>
  <c r="BJ21" i="1"/>
  <c r="DL21" i="1"/>
  <c r="DN21" i="1"/>
  <c r="BG22" i="1"/>
  <c r="BD22" i="1"/>
  <c r="AX22" i="1"/>
  <c r="AU22" i="1"/>
  <c r="CH22" i="1"/>
  <c r="AR22" i="1"/>
  <c r="AO22" i="1"/>
  <c r="CE22" i="1"/>
  <c r="DF22" i="1"/>
  <c r="CZ22" i="1"/>
  <c r="CW22" i="1"/>
  <c r="CT22" i="1"/>
  <c r="CQ22" i="1"/>
  <c r="CB22" i="1"/>
  <c r="AL22" i="1"/>
  <c r="BY22" i="1"/>
  <c r="BV22" i="1"/>
  <c r="AI22" i="1"/>
  <c r="BS22" i="1"/>
  <c r="BP22" i="1"/>
  <c r="BM22" i="1"/>
  <c r="BJ22" i="1"/>
  <c r="DL22" i="1"/>
  <c r="DN22" i="1"/>
  <c r="BG23" i="1"/>
  <c r="BD23" i="1"/>
  <c r="BA23" i="1"/>
  <c r="AX23" i="1"/>
  <c r="AU23" i="1"/>
  <c r="CH23" i="1"/>
  <c r="AR23" i="1"/>
  <c r="AO23" i="1"/>
  <c r="CE23" i="1"/>
  <c r="DF23" i="1"/>
  <c r="CZ23" i="1"/>
  <c r="CW23" i="1"/>
  <c r="CT23" i="1"/>
  <c r="CQ23" i="1"/>
  <c r="CB23" i="1"/>
  <c r="AL23" i="1"/>
  <c r="BY23" i="1"/>
  <c r="BV23" i="1"/>
  <c r="AI23" i="1"/>
  <c r="BS23" i="1"/>
  <c r="BP23" i="1"/>
  <c r="BM23" i="1"/>
  <c r="BJ23" i="1"/>
  <c r="DL23" i="1"/>
  <c r="DN23" i="1"/>
  <c r="BG24" i="1"/>
  <c r="BD24" i="1"/>
  <c r="BA24" i="1"/>
  <c r="AX24" i="1"/>
  <c r="AU24" i="1"/>
  <c r="CH24" i="1"/>
  <c r="AR24" i="1"/>
  <c r="AO24" i="1"/>
  <c r="CE24" i="1"/>
  <c r="DF24" i="1"/>
  <c r="CZ24" i="1"/>
  <c r="CW24" i="1"/>
  <c r="CT24" i="1"/>
  <c r="CQ24" i="1"/>
  <c r="CN24" i="1"/>
  <c r="CB24" i="1"/>
  <c r="AL24" i="1"/>
  <c r="BY24" i="1"/>
  <c r="BV24" i="1"/>
  <c r="AI24" i="1"/>
  <c r="BS24" i="1"/>
  <c r="BP24" i="1"/>
  <c r="BM24" i="1"/>
  <c r="BJ24" i="1"/>
  <c r="DL24" i="1"/>
  <c r="DN24" i="1"/>
  <c r="BG25" i="1"/>
  <c r="BD25" i="1"/>
  <c r="BA25" i="1"/>
  <c r="AX25" i="1"/>
  <c r="AU25" i="1"/>
  <c r="CH25" i="1"/>
  <c r="AR25" i="1"/>
  <c r="AO25" i="1"/>
  <c r="CE25" i="1"/>
  <c r="DF25" i="1"/>
  <c r="CZ25" i="1"/>
  <c r="CW25" i="1"/>
  <c r="CT25" i="1"/>
  <c r="CQ25" i="1"/>
  <c r="CN25" i="1"/>
  <c r="CB25" i="1"/>
  <c r="AL25" i="1"/>
  <c r="BY25" i="1"/>
  <c r="BV25" i="1"/>
  <c r="AI25" i="1"/>
  <c r="BS25" i="1"/>
  <c r="BP25" i="1"/>
  <c r="BM25" i="1"/>
  <c r="BJ25" i="1"/>
  <c r="DN25" i="1"/>
  <c r="BG26" i="1"/>
  <c r="BD26" i="1"/>
  <c r="BA26" i="1"/>
  <c r="AX26" i="1"/>
  <c r="AU26" i="1"/>
  <c r="CH26" i="1"/>
  <c r="AR26" i="1"/>
  <c r="AO26" i="1"/>
  <c r="DF26" i="1"/>
  <c r="CZ26" i="1"/>
  <c r="CW26" i="1"/>
  <c r="CT26" i="1"/>
  <c r="CQ26" i="1"/>
  <c r="CN26" i="1"/>
  <c r="CB26" i="1"/>
  <c r="AL26" i="1"/>
  <c r="BY26" i="1"/>
  <c r="BV26" i="1"/>
  <c r="AI26" i="1"/>
  <c r="BS26" i="1"/>
  <c r="BP26" i="1"/>
  <c r="BM26" i="1"/>
  <c r="BJ26" i="1"/>
  <c r="DL26" i="1"/>
  <c r="DN26" i="1"/>
  <c r="BG27" i="1"/>
  <c r="BD27" i="1"/>
  <c r="AX27" i="1"/>
  <c r="AU27" i="1"/>
  <c r="CH27" i="1"/>
  <c r="AR27" i="1"/>
  <c r="AO27" i="1"/>
  <c r="DF27" i="1"/>
  <c r="CZ27" i="1"/>
  <c r="CW27" i="1"/>
  <c r="CT27" i="1"/>
  <c r="CQ27" i="1"/>
  <c r="CN27" i="1"/>
  <c r="CB27" i="1"/>
  <c r="AL27" i="1"/>
  <c r="BY27" i="1"/>
  <c r="BV27" i="1"/>
  <c r="AI27" i="1"/>
  <c r="BP27" i="1"/>
  <c r="BM27" i="1"/>
  <c r="BJ27" i="1"/>
  <c r="DL27" i="1"/>
  <c r="DN27" i="1"/>
  <c r="BG28" i="1"/>
  <c r="BD28" i="1"/>
  <c r="AU28" i="1"/>
  <c r="CH28" i="1"/>
  <c r="AR28" i="1"/>
  <c r="AO28" i="1"/>
  <c r="DF28" i="1"/>
  <c r="CZ28" i="1"/>
  <c r="CW28" i="1"/>
  <c r="CT28" i="1"/>
  <c r="CQ28" i="1"/>
  <c r="CN28" i="1"/>
  <c r="CB28" i="1"/>
  <c r="AL28" i="1"/>
  <c r="BY28" i="1"/>
  <c r="BV28" i="1"/>
  <c r="AI28" i="1"/>
  <c r="BP28" i="1"/>
  <c r="BM28" i="1"/>
  <c r="BJ28" i="1"/>
  <c r="DN28" i="1"/>
  <c r="DL28" i="1"/>
  <c r="BG29" i="1"/>
  <c r="BD29" i="1"/>
  <c r="AU29" i="1"/>
  <c r="CH29" i="1"/>
  <c r="AR29" i="1"/>
  <c r="AO29" i="1"/>
  <c r="DF29" i="1"/>
  <c r="CZ29" i="1"/>
  <c r="CW29" i="1"/>
  <c r="CT29" i="1"/>
  <c r="CQ29" i="1"/>
  <c r="CN29" i="1"/>
  <c r="CB29" i="1"/>
  <c r="AL29" i="1"/>
  <c r="BY29" i="1"/>
  <c r="BV29" i="1"/>
  <c r="AI29" i="1"/>
  <c r="BP29" i="1"/>
  <c r="BM29" i="1"/>
  <c r="BJ29" i="1"/>
  <c r="DL29" i="1"/>
  <c r="DN29" i="1"/>
  <c r="AU20" i="1"/>
  <c r="CH20" i="1"/>
  <c r="AR20" i="1"/>
  <c r="AO20" i="1"/>
  <c r="DF20" i="1"/>
  <c r="CZ20" i="1"/>
  <c r="CW20" i="1"/>
  <c r="CT20" i="1"/>
  <c r="CQ20" i="1"/>
  <c r="CN20" i="1"/>
  <c r="CB20" i="1"/>
  <c r="AL20" i="1"/>
  <c r="BV20" i="1"/>
  <c r="AI20" i="1"/>
  <c r="BS20" i="1"/>
  <c r="BP20" i="1"/>
  <c r="BM20" i="1"/>
  <c r="BJ20" i="1"/>
  <c r="BG20" i="1"/>
  <c r="BD20" i="1"/>
  <c r="AX20" i="1"/>
  <c r="DL20" i="1"/>
  <c r="CG21" i="1"/>
  <c r="CG22" i="1"/>
  <c r="CG23" i="1"/>
  <c r="CG24" i="1"/>
  <c r="CG25" i="1"/>
  <c r="N51" i="1"/>
  <c r="Q51" i="1"/>
  <c r="W51" i="1"/>
  <c r="AC51" i="1"/>
  <c r="AI51" i="1"/>
  <c r="AL51" i="1"/>
  <c r="BL20" i="1"/>
  <c r="BO20" i="1"/>
  <c r="BR20" i="1"/>
  <c r="BU20" i="1"/>
  <c r="AK20" i="1"/>
  <c r="BX20" i="1"/>
  <c r="AN20" i="1"/>
  <c r="CD20" i="1"/>
  <c r="CP20" i="1"/>
  <c r="CS20" i="1"/>
  <c r="CV20" i="1"/>
  <c r="CY20" i="1"/>
  <c r="DB20" i="1"/>
  <c r="DC20" i="1"/>
  <c r="DE20" i="1"/>
  <c r="DH20" i="1"/>
  <c r="AQ20" i="1"/>
  <c r="AT20" i="1"/>
  <c r="DI20" i="1"/>
  <c r="DK20" i="1"/>
  <c r="CJ20" i="1"/>
  <c r="CK20" i="1"/>
  <c r="CM20" i="1"/>
  <c r="AW20" i="1"/>
  <c r="BL21" i="1"/>
  <c r="BO21" i="1"/>
  <c r="BR21" i="1"/>
  <c r="BU21" i="1"/>
  <c r="AK21" i="1"/>
  <c r="BX21" i="1"/>
  <c r="CA21" i="1"/>
  <c r="AN21" i="1"/>
  <c r="CD21" i="1"/>
  <c r="CP21" i="1"/>
  <c r="CS21" i="1"/>
  <c r="CV21" i="1"/>
  <c r="CY21" i="1"/>
  <c r="DB21" i="1"/>
  <c r="DC21" i="1"/>
  <c r="DE21" i="1"/>
  <c r="DH21" i="1"/>
  <c r="AQ21" i="1"/>
  <c r="AT21" i="1"/>
  <c r="DI21" i="1"/>
  <c r="DK21" i="1"/>
  <c r="CJ21" i="1"/>
  <c r="CK21" i="1"/>
  <c r="CM21" i="1"/>
  <c r="AW21" i="1"/>
  <c r="BL22" i="1"/>
  <c r="BO22" i="1"/>
  <c r="BR22" i="1"/>
  <c r="BU22" i="1"/>
  <c r="AK22" i="1"/>
  <c r="BX22" i="1"/>
  <c r="CA22" i="1"/>
  <c r="AN22" i="1"/>
  <c r="CD22" i="1"/>
  <c r="CS22" i="1"/>
  <c r="CV22" i="1"/>
  <c r="CY22" i="1"/>
  <c r="DB22" i="1"/>
  <c r="DC22" i="1"/>
  <c r="DE22" i="1"/>
  <c r="DH22" i="1"/>
  <c r="AQ22" i="1"/>
  <c r="AT22" i="1"/>
  <c r="DI22" i="1"/>
  <c r="DK22" i="1"/>
  <c r="CJ22" i="1"/>
  <c r="CK22" i="1"/>
  <c r="CM22" i="1"/>
  <c r="AW22" i="1"/>
  <c r="BL23" i="1"/>
  <c r="BO23" i="1"/>
  <c r="BR23" i="1"/>
  <c r="BU23" i="1"/>
  <c r="AK23" i="1"/>
  <c r="BX23" i="1"/>
  <c r="CA23" i="1"/>
  <c r="AN23" i="1"/>
  <c r="CD23" i="1"/>
  <c r="CS23" i="1"/>
  <c r="CV23" i="1"/>
  <c r="CY23" i="1"/>
  <c r="DB23" i="1"/>
  <c r="DC23" i="1"/>
  <c r="DE23" i="1"/>
  <c r="DH23" i="1"/>
  <c r="AQ23" i="1"/>
  <c r="AT23" i="1"/>
  <c r="DI23" i="1"/>
  <c r="DK23" i="1"/>
  <c r="CJ23" i="1"/>
  <c r="CK23" i="1"/>
  <c r="CM23" i="1"/>
  <c r="AW23" i="1"/>
  <c r="BL24" i="1"/>
  <c r="BO24" i="1"/>
  <c r="BR24" i="1"/>
  <c r="BU24" i="1"/>
  <c r="AK24" i="1"/>
  <c r="BX24" i="1"/>
  <c r="CA24" i="1"/>
  <c r="AN24" i="1"/>
  <c r="CD24" i="1"/>
  <c r="CP24" i="1"/>
  <c r="CS24" i="1"/>
  <c r="CV24" i="1"/>
  <c r="CY24" i="1"/>
  <c r="DB24" i="1"/>
  <c r="DC24" i="1"/>
  <c r="DE24" i="1"/>
  <c r="DH24" i="1"/>
  <c r="AQ24" i="1"/>
  <c r="AT24" i="1"/>
  <c r="DI24" i="1"/>
  <c r="DK24" i="1"/>
  <c r="CJ24" i="1"/>
  <c r="CK24" i="1"/>
  <c r="CM24" i="1"/>
  <c r="AW24" i="1"/>
  <c r="BL25" i="1"/>
  <c r="BO25" i="1"/>
  <c r="BR25" i="1"/>
  <c r="BU25" i="1"/>
  <c r="AK25" i="1"/>
  <c r="BX25" i="1"/>
  <c r="CA25" i="1"/>
  <c r="AN25" i="1"/>
  <c r="CD25" i="1"/>
  <c r="CP25" i="1"/>
  <c r="CS25" i="1"/>
  <c r="CV25" i="1"/>
  <c r="CY25" i="1"/>
  <c r="DB25" i="1"/>
  <c r="DC25" i="1"/>
  <c r="DE25" i="1"/>
  <c r="DH25" i="1"/>
  <c r="AQ25" i="1"/>
  <c r="AT25" i="1"/>
  <c r="DI25" i="1"/>
  <c r="DK25" i="1"/>
  <c r="CJ25" i="1"/>
  <c r="CK25" i="1"/>
  <c r="CM25" i="1"/>
  <c r="AW25" i="1"/>
  <c r="BL26" i="1"/>
  <c r="BO26" i="1"/>
  <c r="BR26" i="1"/>
  <c r="BU26" i="1"/>
  <c r="AK26" i="1"/>
  <c r="BX26" i="1"/>
  <c r="CA26" i="1"/>
  <c r="AN26" i="1"/>
  <c r="CD26" i="1"/>
  <c r="CP26" i="1"/>
  <c r="CS26" i="1"/>
  <c r="CV26" i="1"/>
  <c r="CY26" i="1"/>
  <c r="DB26" i="1"/>
  <c r="DC26" i="1"/>
  <c r="DE26" i="1"/>
  <c r="DH26" i="1"/>
  <c r="AQ26" i="1"/>
  <c r="AT26" i="1"/>
  <c r="DI26" i="1"/>
  <c r="DK26" i="1"/>
  <c r="CJ26" i="1"/>
  <c r="CK26" i="1"/>
  <c r="CM26" i="1"/>
  <c r="AW26" i="1"/>
  <c r="BL27" i="1"/>
  <c r="BO27" i="1"/>
  <c r="BR27" i="1"/>
  <c r="AK27" i="1"/>
  <c r="BX27" i="1"/>
  <c r="CA27" i="1"/>
  <c r="AN27" i="1"/>
  <c r="CD27" i="1"/>
  <c r="CP27" i="1"/>
  <c r="CS27" i="1"/>
  <c r="CV27" i="1"/>
  <c r="CY27" i="1"/>
  <c r="DB27" i="1"/>
  <c r="DC27" i="1"/>
  <c r="DE27" i="1"/>
  <c r="DH27" i="1"/>
  <c r="AQ27" i="1"/>
  <c r="AT27" i="1"/>
  <c r="DI27" i="1"/>
  <c r="DK27" i="1"/>
  <c r="CJ27" i="1"/>
  <c r="CK27" i="1"/>
  <c r="CM27" i="1"/>
  <c r="AW27" i="1"/>
  <c r="BL28" i="1"/>
  <c r="BO28" i="1"/>
  <c r="BR28" i="1"/>
  <c r="AK28" i="1"/>
  <c r="BX28" i="1"/>
  <c r="CA28" i="1"/>
  <c r="AN28" i="1"/>
  <c r="CD28" i="1"/>
  <c r="CP28" i="1"/>
  <c r="CS28" i="1"/>
  <c r="CV28" i="1"/>
  <c r="CY28" i="1"/>
  <c r="DB28" i="1"/>
  <c r="DC28" i="1"/>
  <c r="DE28" i="1"/>
  <c r="DH28" i="1"/>
  <c r="AQ28" i="1"/>
  <c r="AT28" i="1"/>
  <c r="DI28" i="1"/>
  <c r="DK28" i="1"/>
  <c r="CJ28" i="1"/>
  <c r="CK28" i="1"/>
  <c r="CM28" i="1"/>
  <c r="AW28" i="1"/>
  <c r="BL29" i="1"/>
  <c r="BO29" i="1"/>
  <c r="BR29" i="1"/>
  <c r="AK29" i="1"/>
  <c r="BX29" i="1"/>
  <c r="CA29" i="1"/>
  <c r="AN29" i="1"/>
  <c r="CD29" i="1"/>
  <c r="CP29" i="1"/>
  <c r="CS29" i="1"/>
  <c r="CV29" i="1"/>
  <c r="CY29" i="1"/>
  <c r="DB29" i="1"/>
  <c r="DC29" i="1"/>
  <c r="DE29" i="1"/>
  <c r="DH29" i="1"/>
  <c r="AQ29" i="1"/>
  <c r="AT29" i="1"/>
  <c r="DI29" i="1"/>
  <c r="DK29" i="1"/>
  <c r="CJ29" i="1"/>
  <c r="CK29" i="1"/>
  <c r="CM29" i="1"/>
  <c r="AW29" i="1"/>
  <c r="BI29" i="1"/>
  <c r="BI28" i="1"/>
  <c r="BI27" i="1"/>
  <c r="BI26" i="1"/>
  <c r="BI25" i="1"/>
  <c r="BI24" i="1"/>
  <c r="BI23" i="1"/>
  <c r="BI22" i="1"/>
  <c r="BI21" i="1"/>
  <c r="BI20" i="1"/>
  <c r="BF29" i="1"/>
  <c r="BF28" i="1"/>
  <c r="BF27" i="1"/>
  <c r="BF26" i="1"/>
  <c r="BF25" i="1"/>
  <c r="BF24" i="1"/>
  <c r="BF23" i="1"/>
  <c r="BF22" i="1"/>
  <c r="BF21" i="1"/>
  <c r="BF20" i="1"/>
  <c r="BC26" i="1"/>
  <c r="BC25" i="1"/>
  <c r="BC24" i="1"/>
  <c r="BC23" i="1"/>
  <c r="AZ27" i="1"/>
  <c r="AZ26" i="1"/>
  <c r="AZ25" i="1"/>
  <c r="AZ24" i="1"/>
  <c r="AZ23" i="1"/>
  <c r="AZ22" i="1"/>
  <c r="AZ21" i="1"/>
  <c r="AZ20" i="1"/>
  <c r="N60" i="1"/>
  <c r="Q60" i="1"/>
  <c r="W60" i="1"/>
  <c r="AC60" i="1"/>
  <c r="AF60" i="1"/>
  <c r="AI60" i="1"/>
  <c r="AN60" i="1"/>
  <c r="AL60" i="1"/>
  <c r="AK60" i="1"/>
  <c r="AH60" i="1"/>
  <c r="AE60" i="1"/>
  <c r="AB60" i="1"/>
  <c r="Z60" i="1"/>
  <c r="Y60" i="1"/>
  <c r="V60" i="1"/>
  <c r="T60" i="1"/>
  <c r="S60" i="1"/>
  <c r="P60" i="1"/>
  <c r="N59" i="1"/>
  <c r="Q59" i="1"/>
  <c r="W59" i="1"/>
  <c r="AC59" i="1"/>
  <c r="AF59" i="1"/>
  <c r="AI59" i="1"/>
  <c r="AN59" i="1"/>
  <c r="AK59" i="1"/>
  <c r="AH59" i="1"/>
  <c r="AE59" i="1"/>
  <c r="AB59" i="1"/>
  <c r="Z59" i="1"/>
  <c r="Y59" i="1"/>
  <c r="V59" i="1"/>
  <c r="T59" i="1"/>
  <c r="S59" i="1"/>
  <c r="P59" i="1"/>
  <c r="N58" i="1"/>
  <c r="Q58" i="1"/>
  <c r="W58" i="1"/>
  <c r="AC58" i="1"/>
  <c r="AF58" i="1"/>
  <c r="AI58" i="1"/>
  <c r="AN58" i="1"/>
  <c r="AK58" i="1"/>
  <c r="AH58" i="1"/>
  <c r="AE58" i="1"/>
  <c r="AB58" i="1"/>
  <c r="Z58" i="1"/>
  <c r="Y58" i="1"/>
  <c r="V58" i="1"/>
  <c r="T58" i="1"/>
  <c r="S58" i="1"/>
  <c r="P58" i="1"/>
  <c r="N57" i="1"/>
  <c r="Q57" i="1"/>
  <c r="W57" i="1"/>
  <c r="AC57" i="1"/>
  <c r="AF57" i="1"/>
  <c r="AI57" i="1"/>
  <c r="AN57" i="1"/>
  <c r="AL57" i="1"/>
  <c r="AK57" i="1"/>
  <c r="AH57" i="1"/>
  <c r="AE57" i="1"/>
  <c r="AB57" i="1"/>
  <c r="Z57" i="1"/>
  <c r="Y57" i="1"/>
  <c r="V57" i="1"/>
  <c r="T57" i="1"/>
  <c r="S57" i="1"/>
  <c r="P57" i="1"/>
  <c r="N56" i="1"/>
  <c r="Q56" i="1"/>
  <c r="W56" i="1"/>
  <c r="AC56" i="1"/>
  <c r="AF56" i="1"/>
  <c r="AI56" i="1"/>
  <c r="AN56" i="1"/>
  <c r="AL56" i="1"/>
  <c r="AK56" i="1"/>
  <c r="AH56" i="1"/>
  <c r="AE56" i="1"/>
  <c r="AB56" i="1"/>
  <c r="Z56" i="1"/>
  <c r="Y56" i="1"/>
  <c r="V56" i="1"/>
  <c r="T56" i="1"/>
  <c r="S56" i="1"/>
  <c r="P56" i="1"/>
  <c r="N55" i="1"/>
  <c r="Q55" i="1"/>
  <c r="W55" i="1"/>
  <c r="AC55" i="1"/>
  <c r="AF55" i="1"/>
  <c r="AI55" i="1"/>
  <c r="AN55" i="1"/>
  <c r="AK55" i="1"/>
  <c r="AH55" i="1"/>
  <c r="AE55" i="1"/>
  <c r="AB55" i="1"/>
  <c r="Z55" i="1"/>
  <c r="Y55" i="1"/>
  <c r="V55" i="1"/>
  <c r="T55" i="1"/>
  <c r="S55" i="1"/>
  <c r="P55" i="1"/>
  <c r="N54" i="1"/>
  <c r="Q54" i="1"/>
  <c r="W54" i="1"/>
  <c r="AC54" i="1"/>
  <c r="AF54" i="1"/>
  <c r="AI54" i="1"/>
  <c r="AN54" i="1"/>
  <c r="AK54" i="1"/>
  <c r="AH54" i="1"/>
  <c r="AE54" i="1"/>
  <c r="AB54" i="1"/>
  <c r="Z54" i="1"/>
  <c r="Y54" i="1"/>
  <c r="V54" i="1"/>
  <c r="T54" i="1"/>
  <c r="S54" i="1"/>
  <c r="P54" i="1"/>
  <c r="N53" i="1"/>
  <c r="Q53" i="1"/>
  <c r="W53" i="1"/>
  <c r="AC53" i="1"/>
  <c r="AF53" i="1"/>
  <c r="AI53" i="1"/>
  <c r="AN53" i="1"/>
  <c r="AL53" i="1"/>
  <c r="AK53" i="1"/>
  <c r="AH53" i="1"/>
  <c r="AE53" i="1"/>
  <c r="AB53" i="1"/>
  <c r="Z53" i="1"/>
  <c r="Y53" i="1"/>
  <c r="V53" i="1"/>
  <c r="T53" i="1"/>
  <c r="S53" i="1"/>
  <c r="P53" i="1"/>
  <c r="N52" i="1"/>
  <c r="Q52" i="1"/>
  <c r="W52" i="1"/>
  <c r="AC52" i="1"/>
  <c r="AF52" i="1"/>
  <c r="AI52" i="1"/>
  <c r="AN52" i="1"/>
  <c r="AL52" i="1"/>
  <c r="AK52" i="1"/>
  <c r="AH52" i="1"/>
  <c r="AE52" i="1"/>
  <c r="AB52" i="1"/>
  <c r="Z52" i="1"/>
  <c r="Y52" i="1"/>
  <c r="V52" i="1"/>
  <c r="T52" i="1"/>
  <c r="S52" i="1"/>
  <c r="P52" i="1"/>
  <c r="AK51" i="1"/>
  <c r="AE51" i="1"/>
  <c r="Y51" i="1"/>
  <c r="V51" i="1"/>
  <c r="T51" i="1"/>
  <c r="S51" i="1"/>
  <c r="P51" i="1"/>
  <c r="B52" i="1"/>
  <c r="G52" i="1"/>
  <c r="H52" i="1"/>
  <c r="E52" i="1"/>
  <c r="J52" i="1"/>
  <c r="B53" i="1"/>
  <c r="G53" i="1"/>
  <c r="H53" i="1"/>
  <c r="E53" i="1"/>
  <c r="B54" i="1"/>
  <c r="G54" i="1"/>
  <c r="H54" i="1"/>
  <c r="E54" i="1"/>
  <c r="J54" i="1"/>
  <c r="B55" i="1"/>
  <c r="G55" i="1"/>
  <c r="H55" i="1"/>
  <c r="E55" i="1"/>
  <c r="J55" i="1"/>
  <c r="B56" i="1"/>
  <c r="E56" i="1"/>
  <c r="J56" i="1"/>
  <c r="G56" i="1"/>
  <c r="H56" i="1"/>
  <c r="B57" i="1"/>
  <c r="G57" i="1"/>
  <c r="H57" i="1"/>
  <c r="E57" i="1"/>
  <c r="J57" i="1"/>
  <c r="B58" i="1"/>
  <c r="G58" i="1"/>
  <c r="H58" i="1"/>
  <c r="E58" i="1"/>
  <c r="B59" i="1"/>
  <c r="E59" i="1"/>
  <c r="J59" i="1"/>
  <c r="G59" i="1"/>
  <c r="H59" i="1"/>
  <c r="B60" i="1"/>
  <c r="G60" i="1"/>
  <c r="H60" i="1"/>
  <c r="E60" i="1"/>
  <c r="J60" i="1"/>
  <c r="B51" i="1"/>
  <c r="E51" i="1"/>
  <c r="J51" i="1"/>
  <c r="G51" i="1"/>
  <c r="D60" i="1"/>
  <c r="D59" i="1"/>
  <c r="D58" i="1"/>
  <c r="D57" i="1"/>
  <c r="D56" i="1"/>
  <c r="D55" i="1"/>
  <c r="D54" i="1"/>
  <c r="D53" i="1"/>
  <c r="D52" i="1"/>
  <c r="D51" i="1"/>
  <c r="Y29" i="1"/>
  <c r="W29" i="1"/>
  <c r="Y28" i="1"/>
  <c r="W28" i="1"/>
  <c r="Y27" i="1"/>
  <c r="W27" i="1"/>
  <c r="Y26" i="1"/>
  <c r="W26" i="1"/>
  <c r="Y25" i="1"/>
  <c r="W25" i="1"/>
  <c r="Y24" i="1"/>
  <c r="W24" i="1"/>
  <c r="Y23" i="1"/>
  <c r="W23" i="1"/>
  <c r="Y22" i="1"/>
  <c r="W22" i="1"/>
  <c r="Y21" i="1"/>
  <c r="W21" i="1"/>
  <c r="Y20" i="1"/>
  <c r="W20" i="1"/>
  <c r="V29" i="1"/>
  <c r="T29" i="1"/>
  <c r="V28" i="1"/>
  <c r="T28" i="1"/>
  <c r="B28" i="1"/>
  <c r="E28" i="1"/>
  <c r="H28" i="1"/>
  <c r="Q28" i="1"/>
  <c r="AB28" i="1"/>
  <c r="V27" i="1"/>
  <c r="T27" i="1"/>
  <c r="V26" i="1"/>
  <c r="T26" i="1"/>
  <c r="V25" i="1"/>
  <c r="T25" i="1"/>
  <c r="V24" i="1"/>
  <c r="T24" i="1"/>
  <c r="V23" i="1"/>
  <c r="T23" i="1"/>
  <c r="V22" i="1"/>
  <c r="T22" i="1"/>
  <c r="V21" i="1"/>
  <c r="T21" i="1"/>
  <c r="V20" i="1"/>
  <c r="T20" i="1"/>
  <c r="S29" i="1"/>
  <c r="Q29" i="1"/>
  <c r="S28" i="1"/>
  <c r="S27" i="1"/>
  <c r="Q27" i="1"/>
  <c r="S26" i="1"/>
  <c r="Q26" i="1"/>
  <c r="S25" i="1"/>
  <c r="Q25" i="1"/>
  <c r="S24" i="1"/>
  <c r="Q24" i="1"/>
  <c r="S23" i="1"/>
  <c r="Q23" i="1"/>
  <c r="S22" i="1"/>
  <c r="Q22" i="1"/>
  <c r="S21" i="1"/>
  <c r="Q21" i="1"/>
  <c r="S20" i="1"/>
  <c r="Q20" i="1"/>
  <c r="M29" i="1"/>
  <c r="K29" i="1"/>
  <c r="M28" i="1"/>
  <c r="K28" i="1"/>
  <c r="M27" i="1"/>
  <c r="K27" i="1"/>
  <c r="M26" i="1"/>
  <c r="K26" i="1"/>
  <c r="M25" i="1"/>
  <c r="K25" i="1"/>
  <c r="M24" i="1"/>
  <c r="K24" i="1"/>
  <c r="M23" i="1"/>
  <c r="K23" i="1"/>
  <c r="M22" i="1"/>
  <c r="K22" i="1"/>
  <c r="M21" i="1"/>
  <c r="K21" i="1"/>
  <c r="M20" i="1"/>
  <c r="K20" i="1"/>
  <c r="J20" i="1"/>
  <c r="J21" i="1"/>
  <c r="J22" i="1"/>
  <c r="J23" i="1"/>
  <c r="J24" i="1"/>
  <c r="J25" i="1"/>
  <c r="J26" i="1"/>
  <c r="J27" i="1"/>
  <c r="J28" i="1"/>
  <c r="J29" i="1"/>
  <c r="H29" i="1"/>
  <c r="H27" i="1"/>
  <c r="H26" i="1"/>
  <c r="H25" i="1"/>
  <c r="H24" i="1"/>
  <c r="H23" i="1"/>
  <c r="H22" i="1"/>
  <c r="H21" i="1"/>
  <c r="H20" i="1"/>
  <c r="P29" i="1"/>
  <c r="N29" i="1"/>
  <c r="P28" i="1"/>
  <c r="N28" i="1"/>
  <c r="P27" i="1"/>
  <c r="N27" i="1"/>
  <c r="P26" i="1"/>
  <c r="N26" i="1"/>
  <c r="P25" i="1"/>
  <c r="N25" i="1"/>
  <c r="P24" i="1"/>
  <c r="N24" i="1"/>
  <c r="P23" i="1"/>
  <c r="N23" i="1"/>
  <c r="P22" i="1"/>
  <c r="N22" i="1"/>
  <c r="P21" i="1"/>
  <c r="N21" i="1"/>
  <c r="P20" i="1"/>
  <c r="N20" i="1"/>
  <c r="G29" i="1"/>
  <c r="E29" i="1"/>
  <c r="B29" i="1"/>
  <c r="AB29" i="1"/>
  <c r="G28" i="1"/>
  <c r="G27" i="1"/>
  <c r="E27" i="1"/>
  <c r="G26" i="1"/>
  <c r="E26" i="1"/>
  <c r="G25" i="1"/>
  <c r="E25" i="1"/>
  <c r="G24" i="1"/>
  <c r="E24" i="1"/>
  <c r="G23" i="1"/>
  <c r="E23" i="1"/>
  <c r="B23" i="1"/>
  <c r="AB23" i="1"/>
  <c r="G22" i="1"/>
  <c r="E22" i="1"/>
  <c r="G21" i="1"/>
  <c r="E21" i="1"/>
  <c r="B21" i="1"/>
  <c r="AB21" i="1"/>
  <c r="G20" i="1"/>
  <c r="E20" i="1"/>
  <c r="Z21" i="1"/>
  <c r="B22" i="1"/>
  <c r="B24" i="1"/>
  <c r="Z24" i="1"/>
  <c r="B25" i="1"/>
  <c r="AB25" i="1"/>
  <c r="B26" i="1"/>
  <c r="B27" i="1"/>
  <c r="AB27" i="1"/>
  <c r="Z28" i="1"/>
  <c r="Z29" i="1"/>
  <c r="B20" i="1"/>
  <c r="Z22" i="1"/>
  <c r="AB22" i="1"/>
  <c r="Z23" i="1"/>
  <c r="Z26" i="1"/>
  <c r="AB26" i="1"/>
  <c r="Z27" i="1"/>
  <c r="AB20" i="1"/>
  <c r="Z20" i="1"/>
  <c r="D21" i="1"/>
  <c r="D22" i="1"/>
  <c r="D23" i="1"/>
  <c r="D24" i="1"/>
  <c r="D25" i="1"/>
  <c r="D26" i="1"/>
  <c r="D27" i="1"/>
  <c r="D28" i="1"/>
  <c r="D29" i="1"/>
  <c r="D20" i="1"/>
  <c r="Q9" i="2"/>
  <c r="O9" i="2"/>
  <c r="O11" i="2"/>
  <c r="P23" i="3"/>
  <c r="AJ23" i="3"/>
  <c r="AQ20" i="3"/>
  <c r="E23" i="3"/>
  <c r="L15" i="2"/>
  <c r="O15" i="2"/>
  <c r="DN20" i="1"/>
  <c r="DL25" i="1"/>
  <c r="Z25" i="1"/>
  <c r="J58" i="1"/>
  <c r="AL54" i="1"/>
  <c r="AL58" i="1"/>
  <c r="DT5" i="1"/>
  <c r="P19" i="3"/>
  <c r="R23" i="3"/>
  <c r="Y20" i="3"/>
  <c r="AA23" i="3"/>
  <c r="AH20" i="3"/>
  <c r="AS20" i="3"/>
  <c r="N15" i="2"/>
  <c r="Q15" i="2"/>
  <c r="R19" i="3"/>
  <c r="AR23" i="3"/>
  <c r="AB24" i="1"/>
  <c r="AL55" i="1"/>
  <c r="AL59" i="1"/>
  <c r="AN51" i="1"/>
  <c r="AS23" i="3"/>
  <c r="Q13" i="2"/>
  <c r="H51" i="1"/>
  <c r="J53" i="1"/>
  <c r="AH23" i="3"/>
  <c r="AQ19" i="3"/>
  <c r="G23" i="3"/>
  <c r="P20" i="3"/>
  <c r="Y19" i="3"/>
  <c r="Y23" i="3"/>
  <c r="AH19" i="3"/>
  <c r="E20" i="3"/>
  <c r="Q11" i="2"/>
  <c r="R20" i="3"/>
</calcChain>
</file>

<file path=xl/comments1.xml><?xml version="1.0" encoding="utf-8"?>
<comments xmlns="http://schemas.openxmlformats.org/spreadsheetml/2006/main">
  <authors>
    <author>Juan Diego Galván Candela</author>
  </authors>
  <commentList>
    <comment ref="K14" authorId="0">
      <text>
        <r>
          <rPr>
            <b/>
            <sz val="9"/>
            <color indexed="81"/>
            <rFont val="Tahoma"/>
            <family val="2"/>
          </rPr>
          <t>Juan Diego Galván Candela:</t>
        </r>
        <r>
          <rPr>
            <sz val="9"/>
            <color indexed="81"/>
            <rFont val="Tahoma"/>
            <family val="2"/>
          </rPr>
          <t xml:space="preserve">
coordinates of the archaeological site</t>
        </r>
      </text>
    </comment>
    <comment ref="L14" authorId="0">
      <text>
        <r>
          <rPr>
            <b/>
            <sz val="9"/>
            <color indexed="81"/>
            <rFont val="Tahoma"/>
            <family val="2"/>
          </rPr>
          <t>Juan Diego Galván Candela:</t>
        </r>
        <r>
          <rPr>
            <sz val="9"/>
            <color indexed="81"/>
            <rFont val="Tahoma"/>
            <family val="2"/>
          </rPr>
          <t xml:space="preserve">
coordinates of the archaeological site</t>
        </r>
      </text>
    </comment>
  </commentList>
</comments>
</file>

<file path=xl/comments2.xml><?xml version="1.0" encoding="utf-8"?>
<comments xmlns="http://schemas.openxmlformats.org/spreadsheetml/2006/main">
  <authors>
    <author>Juan Diego Galván Candela</author>
  </authors>
  <commentList>
    <comment ref="C16" authorId="0">
      <text>
        <r>
          <rPr>
            <b/>
            <sz val="9"/>
            <color indexed="81"/>
            <rFont val="Tahoma"/>
            <family val="2"/>
          </rPr>
          <t>Juan Diego Galván Candela:</t>
        </r>
        <r>
          <rPr>
            <sz val="9"/>
            <color indexed="81"/>
            <rFont val="Tahoma"/>
            <family val="2"/>
          </rPr>
          <t xml:space="preserve">
coordinates of the archaeological site</t>
        </r>
      </text>
    </comment>
    <comment ref="D16" authorId="0">
      <text>
        <r>
          <rPr>
            <b/>
            <sz val="9"/>
            <color indexed="81"/>
            <rFont val="Tahoma"/>
            <family val="2"/>
          </rPr>
          <t>Juan Diego Galván Candela:</t>
        </r>
        <r>
          <rPr>
            <sz val="9"/>
            <color indexed="81"/>
            <rFont val="Tahoma"/>
            <family val="2"/>
          </rPr>
          <t xml:space="preserve">
coordinates of the archaeological site</t>
        </r>
      </text>
    </comment>
  </commentList>
</comments>
</file>

<file path=xl/sharedStrings.xml><?xml version="1.0" encoding="utf-8"?>
<sst xmlns="http://schemas.openxmlformats.org/spreadsheetml/2006/main" count="3220" uniqueCount="610">
  <si>
    <t>PAT02</t>
  </si>
  <si>
    <t>∆¹⁴C</t>
  </si>
  <si>
    <t>±</t>
  </si>
  <si>
    <t>PAT03</t>
  </si>
  <si>
    <t>DAR02</t>
  </si>
  <si>
    <t>DAR01</t>
  </si>
  <si>
    <t>TAS01</t>
  </si>
  <si>
    <t>DAR06</t>
  </si>
  <si>
    <t>Differences</t>
  </si>
  <si>
    <t>CHI01</t>
  </si>
  <si>
    <t>MON05</t>
  </si>
  <si>
    <t>ALT02</t>
  </si>
  <si>
    <t>USA07</t>
  </si>
  <si>
    <t>ALB01</t>
  </si>
  <si>
    <t>AUT01</t>
  </si>
  <si>
    <t>CAN06</t>
  </si>
  <si>
    <t>GER01</t>
  </si>
  <si>
    <t>Steinbach</t>
  </si>
  <si>
    <t>GER07</t>
  </si>
  <si>
    <t>ITA09</t>
  </si>
  <si>
    <t>GRE02</t>
  </si>
  <si>
    <t>MON03</t>
  </si>
  <si>
    <t>MON09</t>
  </si>
  <si>
    <t>PAK04</t>
  </si>
  <si>
    <t>ALT01</t>
  </si>
  <si>
    <t>RUS15</t>
  </si>
  <si>
    <t>RUS17</t>
  </si>
  <si>
    <t>RUS20</t>
  </si>
  <si>
    <t>SWE05</t>
  </si>
  <si>
    <t>TIB01</t>
  </si>
  <si>
    <t>USA02</t>
  </si>
  <si>
    <t>USA10</t>
  </si>
  <si>
    <t>USA11</t>
  </si>
  <si>
    <t>USA16</t>
  </si>
  <si>
    <t>USA18</t>
  </si>
  <si>
    <t>RUS04</t>
  </si>
  <si>
    <t>Mean of 2</t>
  </si>
  <si>
    <t>Mean of 7 (1 removed)</t>
  </si>
  <si>
    <t>CHN01</t>
  </si>
  <si>
    <t>AUT02</t>
  </si>
  <si>
    <t>EBA (intraanual)</t>
  </si>
  <si>
    <t>(TOR Loader)</t>
  </si>
  <si>
    <t>SWE02</t>
  </si>
  <si>
    <t>SUI01</t>
  </si>
  <si>
    <t>Müstair</t>
  </si>
  <si>
    <t>JAP01</t>
  </si>
  <si>
    <t>SWE01 (TOR)</t>
  </si>
  <si>
    <t>D</t>
  </si>
  <si>
    <t>Mean of 26 (3 removed)</t>
  </si>
  <si>
    <t>NH0</t>
  </si>
  <si>
    <t>NH1</t>
  </si>
  <si>
    <t>NH2</t>
  </si>
  <si>
    <t>SH1-2</t>
  </si>
  <si>
    <t>Average</t>
  </si>
  <si>
    <t>770-771</t>
  </si>
  <si>
    <t>771-772</t>
  </si>
  <si>
    <t>772-773</t>
  </si>
  <si>
    <t>773-774</t>
  </si>
  <si>
    <t>774-775</t>
  </si>
  <si>
    <t>775-776</t>
  </si>
  <si>
    <t>776-777</t>
  </si>
  <si>
    <t>777-778</t>
  </si>
  <si>
    <t>778-779</t>
  </si>
  <si>
    <t>779-780</t>
  </si>
  <si>
    <t>Interhemispheric offset:</t>
  </si>
  <si>
    <t>Mean ∆¹⁴C (S+N)</t>
  </si>
  <si>
    <t>774 AD</t>
  </si>
  <si>
    <t>992 AD</t>
  </si>
  <si>
    <t>Max. ∆¹⁴C</t>
  </si>
  <si>
    <t>Min. ∆¹⁴C</t>
  </si>
  <si>
    <t>mean ∆¹⁴C sigma</t>
  </si>
  <si>
    <t>N</t>
  </si>
  <si>
    <t>upper ∆¹⁴C</t>
  </si>
  <si>
    <t>lower ∆¹⁴C</t>
  </si>
  <si>
    <t xml:space="preserve">Differences </t>
  </si>
  <si>
    <t>990-991</t>
  </si>
  <si>
    <t>999-1000</t>
  </si>
  <si>
    <t>991-992</t>
  </si>
  <si>
    <t>992-993</t>
  </si>
  <si>
    <t>993-994</t>
  </si>
  <si>
    <t>994-995</t>
  </si>
  <si>
    <t>995-996</t>
  </si>
  <si>
    <t>996-997</t>
  </si>
  <si>
    <t>997-998</t>
  </si>
  <si>
    <t>998-999</t>
  </si>
  <si>
    <t>11y Average</t>
  </si>
  <si>
    <t>Rise</t>
  </si>
  <si>
    <t>NH mean</t>
  </si>
  <si>
    <t xml:space="preserve"> </t>
  </si>
  <si>
    <t>Increase (‰)</t>
  </si>
  <si>
    <t>Average ∆¹⁴C (‰)</t>
  </si>
  <si>
    <t>∆∆¹⁴C (‰)</t>
  </si>
  <si>
    <t>Increase*</t>
  </si>
  <si>
    <t>Modelled production</t>
  </si>
  <si>
    <t>Average ∆¹⁴C**</t>
  </si>
  <si>
    <t>(‰)</t>
  </si>
  <si>
    <t>* average(771,772,773)/average(775,776,777)</t>
  </si>
  <si>
    <t>** average(770:780)</t>
  </si>
  <si>
    <t>SWE01</t>
  </si>
  <si>
    <t>SWE03</t>
  </si>
  <si>
    <t>SWE01 (TOR B)</t>
  </si>
  <si>
    <t>SWE04 (TOR04)</t>
  </si>
  <si>
    <t>(also DAR02)</t>
  </si>
  <si>
    <t>993 Event</t>
  </si>
  <si>
    <t>774 Event</t>
  </si>
  <si>
    <t>NHZ0</t>
  </si>
  <si>
    <t>NHZ1</t>
  </si>
  <si>
    <t>NHZ2</t>
  </si>
  <si>
    <t>SHZ1-2</t>
  </si>
  <si>
    <t>DAR07</t>
  </si>
  <si>
    <t>Südhemisphäre:</t>
  </si>
  <si>
    <t>*** compared to NH mean</t>
  </si>
  <si>
    <t>na</t>
  </si>
  <si>
    <t>Offset ∆∆¹⁴C***</t>
  </si>
  <si>
    <t>SH offset 993</t>
  </si>
  <si>
    <t>+</t>
  </si>
  <si>
    <t>-</t>
  </si>
  <si>
    <t>Modelled</t>
  </si>
  <si>
    <t>NH</t>
  </si>
  <si>
    <t>SH</t>
  </si>
  <si>
    <t>month</t>
  </si>
  <si>
    <t>magnitude</t>
  </si>
  <si>
    <t>error [mt]</t>
  </si>
  <si>
    <t>error</t>
  </si>
  <si>
    <t>Grow</t>
  </si>
  <si>
    <t>NH Mean</t>
  </si>
  <si>
    <r>
      <t>atom (10²</t>
    </r>
    <r>
      <rPr>
        <sz val="12"/>
        <color theme="1"/>
        <rFont val="Calibri"/>
        <family val="2"/>
      </rPr>
      <t>⁵</t>
    </r>
    <r>
      <rPr>
        <sz val="12"/>
        <color theme="1"/>
        <rFont val="Calibri"/>
        <family val="2"/>
        <scheme val="minor"/>
      </rPr>
      <t>)</t>
    </r>
  </si>
  <si>
    <t>atom (10²⁵)</t>
  </si>
  <si>
    <t>SWE04</t>
  </si>
  <si>
    <t>x</t>
  </si>
  <si>
    <t>* not used for offset because records were too short</t>
  </si>
  <si>
    <t>o</t>
  </si>
  <si>
    <t>145° 13' 47'' E</t>
  </si>
  <si>
    <t>41°45' S</t>
  </si>
  <si>
    <t>173°48'15'' E</t>
  </si>
  <si>
    <t>35°55'10'' S</t>
  </si>
  <si>
    <t>70°49'00'' W</t>
  </si>
  <si>
    <t>32°39'00'' S</t>
  </si>
  <si>
    <t>72°40'47'' W</t>
  </si>
  <si>
    <t>41°54'15'' S</t>
  </si>
  <si>
    <t>97°08' E</t>
  </si>
  <si>
    <t>31°07'N</t>
  </si>
  <si>
    <t>75°30' E</t>
  </si>
  <si>
    <t>35°10' N</t>
  </si>
  <si>
    <t>97°40°12'' E</t>
  </si>
  <si>
    <t>37° 27' 00'' N</t>
  </si>
  <si>
    <t>118°44′W</t>
  </si>
  <si>
    <t>37°77′N</t>
  </si>
  <si>
    <t>108°06'32'' W</t>
  </si>
  <si>
    <t>35°57'17'' N</t>
  </si>
  <si>
    <t>108.107847 W</t>
  </si>
  <si>
    <t>35.957777 N</t>
  </si>
  <si>
    <t>20°14’ E</t>
  </si>
  <si>
    <t>41°48’ N</t>
  </si>
  <si>
    <t>20°58'06'' E</t>
  </si>
  <si>
    <t>40°06'33'' N</t>
  </si>
  <si>
    <t>101° 46' E</t>
  </si>
  <si>
    <t>46° 40' N</t>
  </si>
  <si>
    <t>99°52'01'' E</t>
  </si>
  <si>
    <t>48°10'01'' N</t>
  </si>
  <si>
    <t>8°09' E</t>
  </si>
  <si>
    <t>48°43' N</t>
  </si>
  <si>
    <t>12°53'47'' W</t>
  </si>
  <si>
    <t>48°48'00'' N</t>
  </si>
  <si>
    <t>90°17'59'' E</t>
  </si>
  <si>
    <t>50°17'59'' N</t>
  </si>
  <si>
    <t>70°23'53''W</t>
  </si>
  <si>
    <t>54°27'59''N</t>
  </si>
  <si>
    <t>136°28' W</t>
  </si>
  <si>
    <t>58°38' N</t>
  </si>
  <si>
    <t>12°00' E</t>
  </si>
  <si>
    <t>47°12' N</t>
  </si>
  <si>
    <t xml:space="preserve">12°06'00'' E </t>
  </si>
  <si>
    <t>46°57'00'' N</t>
  </si>
  <si>
    <t>10°26' E</t>
  </si>
  <si>
    <t>46°37' N</t>
  </si>
  <si>
    <t>11°01'47'' E</t>
  </si>
  <si>
    <t>46°17'59'' N</t>
  </si>
  <si>
    <t>147°03'13'' W</t>
  </si>
  <si>
    <t>61°06'59'' N</t>
  </si>
  <si>
    <t>13°34'13'' E</t>
  </si>
  <si>
    <t>63°09'25'' N</t>
  </si>
  <si>
    <t>70°25'12'' E</t>
  </si>
  <si>
    <t>67°17'24'' N</t>
  </si>
  <si>
    <t>70°40′E</t>
  </si>
  <si>
    <t>67°31′N</t>
  </si>
  <si>
    <t>148° E</t>
  </si>
  <si>
    <t>69° N</t>
  </si>
  <si>
    <t>102°38' E</t>
  </si>
  <si>
    <t>72°13' N</t>
  </si>
  <si>
    <t>19°27'-19°48' E</t>
  </si>
  <si>
    <t>68°12'-68°18' N</t>
  </si>
  <si>
    <t>19°26'55'' E</t>
  </si>
  <si>
    <t>68°16'12"N</t>
  </si>
  <si>
    <t>13.35.00.E</t>
  </si>
  <si>
    <t>63.09.27.N</t>
  </si>
  <si>
    <t>Hak</t>
  </si>
  <si>
    <t>EBA</t>
  </si>
  <si>
    <t>Record</t>
  </si>
  <si>
    <t>Zone</t>
  </si>
  <si>
    <t>for sorting</t>
  </si>
  <si>
    <t>Coordinates</t>
  </si>
  <si>
    <t>130°30' E</t>
  </si>
  <si>
    <t>30°20' N</t>
  </si>
  <si>
    <t>993 AD</t>
  </si>
  <si>
    <t>o/x</t>
  </si>
  <si>
    <t>x/x</t>
  </si>
  <si>
    <t>Used for offset</t>
  </si>
  <si>
    <t>o*</t>
  </si>
  <si>
    <t>90.30.00.E</t>
  </si>
  <si>
    <t>50.30.00.N</t>
  </si>
  <si>
    <t>NEW01</t>
  </si>
  <si>
    <r>
      <t>Mean of 6 (</t>
    </r>
    <r>
      <rPr>
        <sz val="12"/>
        <color rgb="FFFF0000"/>
        <rFont val="Calibri (Body)"/>
      </rPr>
      <t>2</t>
    </r>
    <r>
      <rPr>
        <sz val="12"/>
        <color theme="1"/>
        <rFont val="Calibri"/>
        <family val="2"/>
        <scheme val="minor"/>
      </rPr>
      <t xml:space="preserve"> removed)</t>
    </r>
  </si>
  <si>
    <t>42° 30' S</t>
  </si>
  <si>
    <t>171° 38' E</t>
  </si>
  <si>
    <t>Fitting parameters box model</t>
  </si>
  <si>
    <t>Grow*</t>
  </si>
  <si>
    <t>* different tree-ring growth pattern were assumed:</t>
  </si>
  <si>
    <t>NH0: short growth from June to August</t>
  </si>
  <si>
    <t>NH1: normal growth from April to September (respectively October to March on the SH)</t>
  </si>
  <si>
    <t>NH2: intense growth in Spring/Automn</t>
  </si>
  <si>
    <t>TRW</t>
  </si>
  <si>
    <t>ID</t>
  </si>
  <si>
    <t>period</t>
  </si>
  <si>
    <t>country</t>
  </si>
  <si>
    <t>location1</t>
  </si>
  <si>
    <t>location2</t>
  </si>
  <si>
    <t>sample_label</t>
  </si>
  <si>
    <t>sample_sender</t>
  </si>
  <si>
    <t>sample_material</t>
  </si>
  <si>
    <t>laboratory</t>
  </si>
  <si>
    <t>coordinateX</t>
  </si>
  <si>
    <t>coordinateY</t>
  </si>
  <si>
    <t>exposition</t>
  </si>
  <si>
    <t>elevation</t>
  </si>
  <si>
    <t>soiltype</t>
  </si>
  <si>
    <t>genus</t>
  </si>
  <si>
    <t>specific_epithet</t>
  </si>
  <si>
    <t>period_replication</t>
  </si>
  <si>
    <t>whole_chronology_replication</t>
  </si>
  <si>
    <t>sample_age</t>
  </si>
  <si>
    <t>sample_nrings</t>
  </si>
  <si>
    <t>sample_distance_to_pith</t>
  </si>
  <si>
    <t>sample_firstYear</t>
  </si>
  <si>
    <t>sample_lastYear</t>
  </si>
  <si>
    <t>radiocarbon_zone</t>
  </si>
  <si>
    <t>climate_sensitivity</t>
  </si>
  <si>
    <t>tree_notes</t>
  </si>
  <si>
    <t>sample_notes</t>
  </si>
  <si>
    <t>sample_publication</t>
  </si>
  <si>
    <t>Albania</t>
  </si>
  <si>
    <t>Central Albania</t>
  </si>
  <si>
    <t>Fushe 
Lura</t>
  </si>
  <si>
    <t>AL04083</t>
  </si>
  <si>
    <t>Seim_Andrea</t>
  </si>
  <si>
    <t>woodblock</t>
  </si>
  <si>
    <t>WSL</t>
  </si>
  <si>
    <t>SW</t>
  </si>
  <si>
    <t>leptosol</t>
  </si>
  <si>
    <t>Pinus</t>
  </si>
  <si>
    <t>heldreichii</t>
  </si>
  <si>
    <t>2 trees</t>
  </si>
  <si>
    <t>mixed</t>
  </si>
  <si>
    <t>NA</t>
  </si>
  <si>
    <t>Andrea says: "It was a dead tree and I cannot say much since we were many people who sampled. I assume it was a healthy tree."</t>
  </si>
  <si>
    <t>Seim A, Buentgen U, Fonti P, Haska H, Herzig F, Tegel W, Trouet V &amp; Treydte K (2012): Climate sensitivity of a millennium-long pine chronology from Albania. Climate 
Research, 51, 217–228.</t>
  </si>
  <si>
    <t>Russia</t>
  </si>
  <si>
    <t>Altai</t>
  </si>
  <si>
    <t>Mongun</t>
  </si>
  <si>
    <t>BKS09-4</t>
  </si>
  <si>
    <t>Kirdyanov_Alex</t>
  </si>
  <si>
    <t xml:space="preserve">woodblock </t>
  </si>
  <si>
    <t>Krasnojarsk</t>
  </si>
  <si>
    <t>plateau</t>
  </si>
  <si>
    <t>Larix</t>
  </si>
  <si>
    <t>sibirica</t>
  </si>
  <si>
    <t>26 trees</t>
  </si>
  <si>
    <t>26 chronologies</t>
  </si>
  <si>
    <t>temperature</t>
  </si>
  <si>
    <t>mean-to-fast growing trees</t>
  </si>
  <si>
    <t>rings not marked in the wood</t>
  </si>
  <si>
    <t>Myglan et al., 2012, AEAE, doi:10.1016/j.aeae.2012.11.009</t>
  </si>
  <si>
    <t>Austria</t>
  </si>
  <si>
    <t>Ahrntal</t>
  </si>
  <si>
    <t>Kofler Alm</t>
  </si>
  <si>
    <t>KOFL-06</t>
  </si>
  <si>
    <t>Nicolussi_Kurt</t>
  </si>
  <si>
    <t xml:space="preserve">Innsbruck </t>
  </si>
  <si>
    <t>S</t>
  </si>
  <si>
    <t>cembra</t>
  </si>
  <si>
    <t>dated from the pith. Dated period 756-954AD. Marked years 770 and 780</t>
  </si>
  <si>
    <t>Nicolussi et al. 2009 A 9111 year long conifer tree-ring chronology for the European Alps: a base for environmental and climatic investigations. The Holocene</t>
  </si>
  <si>
    <t>Canada</t>
  </si>
  <si>
    <t>Quebec</t>
  </si>
  <si>
    <t>Caniapiscau Reservoir</t>
  </si>
  <si>
    <t>L12_249</t>
  </si>
  <si>
    <t>Arsenault_Dominique</t>
  </si>
  <si>
    <t>UQAR</t>
  </si>
  <si>
    <t xml:space="preserve">54°27'59''N </t>
  </si>
  <si>
    <t>in water</t>
  </si>
  <si>
    <t>Picea</t>
  </si>
  <si>
    <t>mariana</t>
  </si>
  <si>
    <t>3 trees</t>
  </si>
  <si>
    <t>161 (153 measured)</t>
  </si>
  <si>
    <t>light rings 699, 759 and 793. Subfossil. Minimum distance from lakeshore: 420 cm; Minimum depth in water: 128 cm; Alignment relative to shore line: perpendicular; Burial : semi-buried in sediments; Maximum diameter: 10 cm; Length 340 cm</t>
  </si>
  <si>
    <t>Genaretti et al. 2014 Volcano-induced regime shifts in millennial tree-ring chronologies from northeastern North America. PNAS</t>
  </si>
  <si>
    <t>China</t>
  </si>
  <si>
    <t>Delingha</t>
    <phoneticPr fontId="2" type="noConversion"/>
  </si>
  <si>
    <t>QinghaiProvince</t>
  </si>
  <si>
    <t>MNP364A</t>
  </si>
  <si>
    <t>Yang_Bao</t>
  </si>
  <si>
    <t>Lanzhou</t>
  </si>
  <si>
    <t>SE</t>
    <phoneticPr fontId="2" type="noConversion"/>
  </si>
  <si>
    <t>alpine grassland</t>
  </si>
  <si>
    <t>Juniperus</t>
  </si>
  <si>
    <t>przewalskii</t>
    <phoneticPr fontId="2" type="noConversion"/>
  </si>
  <si>
    <t>198 trees</t>
  </si>
  <si>
    <t>597 trees</t>
  </si>
  <si>
    <t>Bao says: "We attach the photo of the disk. It is easily to see that the tree grows normally in the first 700 years (the tree starts at 176 BC), and then only grows in one direction in the rest (including 770AD). The elevation of this tree is 4019 meters a.s.l. Compare with others, the speed of tree growth seems a bit slower than the average before 600 AD. After 600 AD, the tree growth rate starts to speed up. So the tree is a fast grower at around 770 AD.</t>
  </si>
  <si>
    <t>3 unknown small pieces that should be reconstructed. The special periods are marked with blue</t>
  </si>
  <si>
    <t>Yang et al. 2013 A 3,500-year tree-ring record of annual precipitation on the northeastern Tibetan Plateau. PNAS</t>
  </si>
  <si>
    <t>NewZealand</t>
  </si>
  <si>
    <t>Dargaville</t>
  </si>
  <si>
    <t>Robert and Donna Harding Farm</t>
  </si>
  <si>
    <t>HAR010a</t>
  </si>
  <si>
    <t>Boswijk_Gretel</t>
  </si>
  <si>
    <t>WSL and Auckland</t>
  </si>
  <si>
    <t>Agathis</t>
  </si>
  <si>
    <t>australis</t>
  </si>
  <si>
    <t>11 trees</t>
  </si>
  <si>
    <t>fast growth</t>
  </si>
  <si>
    <t>TRW available for 612 to 1128. Ask for it. Locally missing rings 921CE and 1101CE. Logs extracted out of a swamp and removed to a sawmill. Young tree in 775 as compared with HAL025/14</t>
  </si>
  <si>
    <t>Mean of repeated measurements</t>
  </si>
  <si>
    <t>Hal Harding Farm</t>
  </si>
  <si>
    <t>HAL025a</t>
  </si>
  <si>
    <t>slow growth</t>
  </si>
  <si>
    <t>HAL025a and HAL014 come from the same tree</t>
  </si>
  <si>
    <t>Güttler_et_al_2014</t>
  </si>
  <si>
    <t>DAR05</t>
  </si>
  <si>
    <t>Yakas Farm</t>
  </si>
  <si>
    <t>YAK002a</t>
  </si>
  <si>
    <t xml:space="preserve">the site is north of Hardings Farm, in a separate catchment. This is a sample from an old, slow growing tree, with very narrow rings. </t>
  </si>
  <si>
    <t>GER (EBA-101)</t>
  </si>
  <si>
    <t>Alps</t>
  </si>
  <si>
    <t>peat bog</t>
  </si>
  <si>
    <t xml:space="preserve">Pinus </t>
  </si>
  <si>
    <t>1216 trees</t>
  </si>
  <si>
    <t>pith available. Slow growth</t>
  </si>
  <si>
    <t>Büntgen U, Wacker L, Nicolussi K, Sigl M, Güttler D, Tegel W, Krusic PJ, Esper J (2014): Extraterrestrial confirmation of tree-ring dating. Nature Climate Change 4: 404-405</t>
  </si>
  <si>
    <t>Germany</t>
  </si>
  <si>
    <t>Bayern</t>
  </si>
  <si>
    <t>Plattling Pankofen</t>
  </si>
  <si>
    <t>PLAT003.M-2009-714-1_0.B081_H24.Abies</t>
  </si>
  <si>
    <t>Herzig_Franz</t>
  </si>
  <si>
    <t>Thierhaupten</t>
  </si>
  <si>
    <t>Abies</t>
  </si>
  <si>
    <t>alba</t>
  </si>
  <si>
    <t>75 trees</t>
  </si>
  <si>
    <t>kept in the fridge</t>
  </si>
  <si>
    <t>Greece</t>
  </si>
  <si>
    <t>Pindos National Park</t>
  </si>
  <si>
    <t>Mt. Smolikas</t>
  </si>
  <si>
    <t>SM01029a</t>
  </si>
  <si>
    <t>Krusic_Paul</t>
  </si>
  <si>
    <t xml:space="preserve"> woodblock</t>
  </si>
  <si>
    <t>Stockholm</t>
  </si>
  <si>
    <t>NW</t>
  </si>
  <si>
    <t>serpentine</t>
  </si>
  <si>
    <t>9 trees</t>
  </si>
  <si>
    <t>Paul says: "from a stem remnant, meaning dead wood lying on the ground. The forest it came from, by all appearances seems healthy. I attach a photo of the site for your consideration."</t>
  </si>
  <si>
    <t>rings marked with pencil</t>
  </si>
  <si>
    <t>Italy</t>
  </si>
  <si>
    <t>Trentino, Brez</t>
  </si>
  <si>
    <t>Palù Avert</t>
  </si>
  <si>
    <t>Bernabei_Mauro</t>
  </si>
  <si>
    <t>IVALSA</t>
  </si>
  <si>
    <t>E</t>
  </si>
  <si>
    <t>abies</t>
  </si>
  <si>
    <t>311 samples</t>
  </si>
  <si>
    <t>the wood seems healthy, a little bit fast growing respect to the mean series (TR mean value: 130.45 against 81.657), no wounds were found in the trunk.</t>
  </si>
  <si>
    <t xml:space="preserve">the sample was extracted from the peat (approximately 70 cm under the surface) using a snow pole, approximately 5 m distant from the peat bog margin. The red dot indicates the year 775. The 810 sample is part of a chronology that spans continuously from 984 BC to 2005, in total 2989 tree-rings, made by 311 samples. TRW measurements made by 3 different path-ways on the same trunk. </t>
  </si>
  <si>
    <t>JAP01+Japan</t>
  </si>
  <si>
    <t>Mean values between 2 samples: Japan and JAP01</t>
  </si>
  <si>
    <t>Japan</t>
  </si>
  <si>
    <t>Kagoshima</t>
    <phoneticPr fontId="6"/>
  </si>
  <si>
    <t>Yakushima Island</t>
  </si>
  <si>
    <t>Miyake_Fusa</t>
  </si>
  <si>
    <t>Nagoya University</t>
  </si>
  <si>
    <t>Cryptomeria</t>
  </si>
  <si>
    <t>japonica</t>
  </si>
  <si>
    <t>12 trees</t>
  </si>
  <si>
    <t>Mongolia</t>
  </si>
  <si>
    <t>Öwörchangai</t>
  </si>
  <si>
    <t>Khuisiin</t>
  </si>
  <si>
    <t>ULL2023x</t>
  </si>
  <si>
    <t>Hessl_Amy_and_Cockrell_Shawn</t>
  </si>
  <si>
    <t>Morgantown</t>
  </si>
  <si>
    <t>39 samples</t>
  </si>
  <si>
    <t>no absent rings</t>
  </si>
  <si>
    <t>Archangai</t>
  </si>
  <si>
    <t>Khorgo</t>
  </si>
  <si>
    <t>KLP4063x</t>
  </si>
  <si>
    <t>Pederson_Neil</t>
  </si>
  <si>
    <t>LDEO</t>
  </si>
  <si>
    <t>basalt lava</t>
  </si>
  <si>
    <t>false ring 773</t>
  </si>
  <si>
    <t>Pederson_Hessl_et_al_2014</t>
  </si>
  <si>
    <t>Switzerland</t>
  </si>
  <si>
    <t>Kloster St. Johann</t>
  </si>
  <si>
    <t>Wacker_Luckas</t>
  </si>
  <si>
    <t>decidua</t>
  </si>
  <si>
    <t>Wacker et al 2014 Radiocarbon Dating to a Single Year by Means of Rapid Atmospheric 14C Changes. Radiocarbon</t>
  </si>
  <si>
    <t>West Coast</t>
  </si>
  <si>
    <t>Weka Farms</t>
  </si>
  <si>
    <t>LC122</t>
  </si>
  <si>
    <t>Palmer_Jonathan</t>
  </si>
  <si>
    <t>Gondwana Tree-ring Laboratory</t>
  </si>
  <si>
    <t>171° 38' W</t>
  </si>
  <si>
    <t>buried</t>
  </si>
  <si>
    <t>Lagarostrobos</t>
  </si>
  <si>
    <t>colensoi</t>
  </si>
  <si>
    <t>In preparation</t>
  </si>
  <si>
    <t>Pakistan</t>
  </si>
  <si>
    <t>Satpara Valley</t>
  </si>
  <si>
    <t>site 2</t>
  </si>
  <si>
    <t>eps0213z</t>
  </si>
  <si>
    <t>Esper_Jan</t>
  </si>
  <si>
    <t>core</t>
  </si>
  <si>
    <t>Uni Mainz</t>
  </si>
  <si>
    <t xml:space="preserve">Juniperus </t>
  </si>
  <si>
    <t>excelsa</t>
  </si>
  <si>
    <t>8 trees</t>
  </si>
  <si>
    <t xml:space="preserve">139 trees </t>
  </si>
  <si>
    <t>nothing to recall</t>
  </si>
  <si>
    <t>Esper_2000_Holocene_10,2_Longterm_tree_ring_variations_in_Juniperus_at_the_upper_timber_line_in_the_Karakorum_Pakistan.Esper_Schweingruber_and_Winiger_2000_Holocene_12,3_1300_years_of_climatic_history_for_Western_Central_Asia_inferred_from_tree_rings. http://sites.nationalacademies.org/cs/groups/pgasite/documents/webpage/pga_063828.pdf</t>
  </si>
  <si>
    <t>Chile</t>
  </si>
  <si>
    <t>Central Chile</t>
  </si>
  <si>
    <t>El Asiento</t>
  </si>
  <si>
    <t>ELA1-2</t>
  </si>
  <si>
    <t>Christie_Duncan</t>
  </si>
  <si>
    <t>split wood in vials</t>
  </si>
  <si>
    <t>Universidad Austral, Valdivia, Chile</t>
  </si>
  <si>
    <t>Austrocedrus</t>
  </si>
  <si>
    <t>chilensis</t>
  </si>
  <si>
    <t>16 samples</t>
  </si>
  <si>
    <t>precipitation</t>
  </si>
  <si>
    <t>Quildaco</t>
  </si>
  <si>
    <t>Región de Los Lagos</t>
  </si>
  <si>
    <t>CNT1009</t>
  </si>
  <si>
    <t>Lara_Antonio</t>
  </si>
  <si>
    <t xml:space="preserve">young andisols </t>
  </si>
  <si>
    <t>Fitzroya</t>
  </si>
  <si>
    <t>cupressoides</t>
  </si>
  <si>
    <t>sample taken from stump of a tree cut in the 1973-1976 when the forest was logged. UTM Coordinates given for Zone 18. Site located in the Andean Range.</t>
  </si>
  <si>
    <t>Yamal</t>
  </si>
  <si>
    <t>Yadayakhodyyakha River</t>
  </si>
  <si>
    <t>Hantemirov_Rashit</t>
  </si>
  <si>
    <t>Ekaterinburg</t>
  </si>
  <si>
    <t xml:space="preserve">67°17'24'' N </t>
  </si>
  <si>
    <t>cryosol fluvisol</t>
  </si>
  <si>
    <t>444 samples (142 living, 302 subfossil)</t>
  </si>
  <si>
    <t>coming from a piece of subfossil wood, probably from the middle part of the stem. So, they cannot assert with confidence if it was healthy or wounded. This piece of wood had no visible injuries, except an axe mark. However we don't know when somebody did try to cut it: 3 or 1000 years ago. It was rather a fast growing tree during the first 50 years (754-800), and has rather narrow last 50 rings in comparison with the rings of the same biological age of other trees. It is eccentric. Big radius is about 10 cm, small one - 7 cm. The piece of wood for radiocarbon analysis was taken on radius about 7.5-8 cm long.</t>
  </si>
  <si>
    <t>770, 7800AD marked with 1 dot</t>
  </si>
  <si>
    <r>
      <t xml:space="preserve">Hantemirov, R. M., and S. G. Shiyatov. 2002. A continuous multi-millennial ring-width chronology in Yamal, northwestern Siberia. Holocene </t>
    </r>
    <r>
      <rPr>
        <b/>
        <sz val="11"/>
        <color theme="1"/>
        <rFont val="Calibri"/>
        <family val="2"/>
        <scheme val="minor"/>
      </rPr>
      <t>12</t>
    </r>
    <r>
      <rPr>
        <sz val="12"/>
        <color theme="1"/>
        <rFont val="Calibri"/>
        <family val="2"/>
        <scheme val="minor"/>
      </rPr>
      <t>:717-726.</t>
    </r>
  </si>
  <si>
    <t>Taymyr</t>
  </si>
  <si>
    <t>Kotoy river</t>
  </si>
  <si>
    <t>KT 111_Second woodblock</t>
  </si>
  <si>
    <t>Kirdyanov_Alex_and_Sidorova_Olga</t>
  </si>
  <si>
    <t>gmelinii</t>
  </si>
  <si>
    <t>10-15 trees</t>
  </si>
  <si>
    <t>not easy to say: these were the only samples Alex could find in the lab. I do not remember any scars on the disks. They looked usual.</t>
  </si>
  <si>
    <t>rings not marked in the wood. This is the second woodblock provided, since the first one had too narrow rings</t>
  </si>
  <si>
    <t>Naurzbaev et al. 2002, Holocene, http://hol.sagepub.com/content/12/6/727.short</t>
  </si>
  <si>
    <t>Indigirka River</t>
  </si>
  <si>
    <t>I322</t>
  </si>
  <si>
    <t>Sidorova_Olga</t>
  </si>
  <si>
    <t>cajanderi</t>
  </si>
  <si>
    <t>24 trees</t>
  </si>
  <si>
    <t>213 trees for the period 929 - 2004 AD</t>
  </si>
  <si>
    <t>Olga said: “Stem sample I322 had no pith. The tree was not old enough compared to others. I do not remember this sample but it should be in my notes, which are at PSI, if was some recent fire and some trees were affected. Strong wind could also affect the trees.”</t>
  </si>
  <si>
    <t>Jull, A.J. &amp; Panyushkina, I</t>
  </si>
  <si>
    <t>Steinbach91</t>
  </si>
  <si>
    <t>Karlsruhe</t>
  </si>
  <si>
    <t>gravel pit</t>
  </si>
  <si>
    <t>Quercus</t>
  </si>
  <si>
    <t>sp.</t>
  </si>
  <si>
    <t>Sweden</t>
  </si>
  <si>
    <t>Torneträsk</t>
  </si>
  <si>
    <t>Gaisenjarga</t>
  </si>
  <si>
    <t>Grudd_Hakan</t>
  </si>
  <si>
    <t>Stockholm/Abisko</t>
  </si>
  <si>
    <t>sylvestris</t>
  </si>
  <si>
    <t>60-70 trees</t>
  </si>
  <si>
    <t>~250</t>
  </si>
  <si>
    <t>slightly higher growth as compared to the average. Samples are from remnant trees (snugs) recovered from rocky dry ground. It is not possible to know if these were healty or damaged trees</t>
  </si>
  <si>
    <t>DOIs: 10.1007/s00382-007-0358-2, 10.1177/0959683612460791, 10.1191/0959683602hl578rp</t>
  </si>
  <si>
    <t>Jämtland</t>
  </si>
  <si>
    <t>Håckervalen</t>
  </si>
  <si>
    <t>TR013010</t>
  </si>
  <si>
    <t>Linderholm_Hans</t>
  </si>
  <si>
    <t>Göteburg</t>
  </si>
  <si>
    <t xml:space="preserve">subfossil sample </t>
  </si>
  <si>
    <t>10 trees</t>
  </si>
  <si>
    <t>182 trees</t>
  </si>
  <si>
    <t>not available: subfossil trees from lakes</t>
  </si>
  <si>
    <t xml:space="preserve">period 770 780 delimited by blue markings. Kept in fridge. TRW data is the average of the two radii measured on each cookie
 </t>
  </si>
  <si>
    <t>Rocha et al. In prep</t>
  </si>
  <si>
    <t>Tasmania</t>
  </si>
  <si>
    <t>SRT554A</t>
  </si>
  <si>
    <t>Cook_Edward</t>
  </si>
  <si>
    <t>franklinii</t>
  </si>
  <si>
    <t>Ed Cook says: "The tree-ring measurements were done by a technician and he is gone now. I don’t know where those measurements are located and I don’t have time to reproduce them. I think you are going to have to go with what you have from me for now."</t>
  </si>
  <si>
    <t>Tibet</t>
  </si>
  <si>
    <t>Qamdo</t>
  </si>
  <si>
    <t>qs9_36</t>
  </si>
  <si>
    <t>Bräuning_Achim</t>
  </si>
  <si>
    <t>Institut für Geographie, Friedrich-Alexander Universität</t>
  </si>
  <si>
    <t>tibetica</t>
  </si>
  <si>
    <t>47 trees</t>
  </si>
  <si>
    <t>the tree sampled was the oldest living tree of the forest we found, it was tall and healthy, strip-bark growth form. The growth is average for the population.</t>
  </si>
  <si>
    <t>missing ring in 844AD</t>
  </si>
  <si>
    <r>
      <t xml:space="preserve">He et al. 2013. Tree growth–climate relationships of </t>
    </r>
    <r>
      <rPr>
        <i/>
        <sz val="11"/>
        <color theme="1"/>
        <rFont val="Calibri"/>
        <family val="2"/>
        <scheme val="minor"/>
      </rPr>
      <t>Juniperus tibetica</t>
    </r>
    <r>
      <rPr>
        <sz val="12"/>
        <color theme="1"/>
        <rFont val="Calibri"/>
        <family val="2"/>
        <scheme val="minor"/>
      </rPr>
      <t xml:space="preserve"> along an altitudinal gradient on the southern Tibetan Plateau. Trees 27</t>
    </r>
  </si>
  <si>
    <t>Tornetraesk</t>
  </si>
  <si>
    <t>Alajarvi</t>
  </si>
  <si>
    <t>TOR230457</t>
  </si>
  <si>
    <t>Loader_Neil</t>
  </si>
  <si>
    <t>Swansea</t>
  </si>
  <si>
    <t>flat open forest</t>
  </si>
  <si>
    <t>peat overlying glacial till</t>
  </si>
  <si>
    <t>1 tree in the cellulose</t>
  </si>
  <si>
    <t>the trees were all fallen or standing deadwood and in varying states of preservation.</t>
  </si>
  <si>
    <t>single tree whole ring cut manually, provided pinned, date checked.</t>
  </si>
  <si>
    <t>unpublished. Also Grudd publications for chronology.</t>
  </si>
  <si>
    <t>USA</t>
  </si>
  <si>
    <t>New Mexico</t>
  </si>
  <si>
    <t>Malpais National Monument</t>
  </si>
  <si>
    <t>ELMA3410/CRE118B</t>
  </si>
  <si>
    <t>GrissinoMayer_Henri</t>
  </si>
  <si>
    <t>Tennessee</t>
  </si>
  <si>
    <t>volcanic basalt</t>
  </si>
  <si>
    <t>Pseudotsuga</t>
  </si>
  <si>
    <t>menziesii</t>
  </si>
  <si>
    <t>21samples and 10 trees</t>
  </si>
  <si>
    <t>248samples and 124trees</t>
  </si>
  <si>
    <t xml:space="preserve">remnant pieces of wood </t>
  </si>
  <si>
    <t>Henri D. Grissino-Mayer, 1996. A 2129 Year Reconstruction of Precipitation for Northwestern New Mexico, USA. Pages 191–204 in J.S. Dean, D.M. Meko, and T.W. Swetnam, eds., Tree Rings, Environment, and Humanity. Radiocarbon 1996, The University of Arizona Press, Tucson.</t>
  </si>
  <si>
    <t>Alaska</t>
  </si>
  <si>
    <t>Columbia Bay. Great Nunatak Base</t>
  </si>
  <si>
    <t>CG03-03.4LT4</t>
  </si>
  <si>
    <t>Wiles_Greg</t>
  </si>
  <si>
    <t>Wooster</t>
  </si>
  <si>
    <t>glacial deposits</t>
  </si>
  <si>
    <t>Tsuga</t>
  </si>
  <si>
    <t>mertensiana</t>
  </si>
  <si>
    <t>13 trees, 1 or 2 radius per tree</t>
  </si>
  <si>
    <t>higher or equal to ring count</t>
  </si>
  <si>
    <t>healthy tree with average growth</t>
  </si>
  <si>
    <t>sample species not sure</t>
  </si>
  <si>
    <t>Glacier Bay. Geikie Inlet</t>
  </si>
  <si>
    <t>GB10-124</t>
  </si>
  <si>
    <t>12 trees, 2 or 3 radius per tree</t>
  </si>
  <si>
    <t>healthy tree with average to fast growth</t>
  </si>
  <si>
    <t>Oregon</t>
  </si>
  <si>
    <t>Moskt Butte Lava Flow</t>
  </si>
  <si>
    <t>LCW36a</t>
  </si>
  <si>
    <t>Clark_Peter_,_Speer_Jim_and_Winship_Lawrence</t>
  </si>
  <si>
    <t>Hadley</t>
  </si>
  <si>
    <t>121°21' W</t>
  </si>
  <si>
    <t>43°53' N</t>
  </si>
  <si>
    <t>exposed on bare lava rock</t>
  </si>
  <si>
    <t>andesite lava flow</t>
  </si>
  <si>
    <t>ponderosa</t>
  </si>
  <si>
    <t>7 trees, 12 samples</t>
  </si>
  <si>
    <t>California</t>
  </si>
  <si>
    <t>White Mountains</t>
  </si>
  <si>
    <t>longaeva</t>
  </si>
  <si>
    <t>Mongun&amp;Sayan Mountains</t>
  </si>
  <si>
    <t>BKS08-07</t>
  </si>
  <si>
    <t>Myglan et al., 2012, AEAE, doi:10.1016/j.aeae.2012.11.010</t>
  </si>
  <si>
    <t>FOR01</t>
  </si>
  <si>
    <t>Norway</t>
  </si>
  <si>
    <t>Forfjorddalen</t>
  </si>
  <si>
    <t>FOR POOL 01 (3 trees: FF2_59, FF2_176 &amp; FF2_211)</t>
  </si>
  <si>
    <t>Loader_Neil_und_Giles_Young</t>
  </si>
  <si>
    <t xml:space="preserve">cellulose pool </t>
  </si>
  <si>
    <t>15.44.00.E</t>
  </si>
  <si>
    <t>68.48.00.N</t>
  </si>
  <si>
    <t>W</t>
  </si>
  <si>
    <t>50-170</t>
  </si>
  <si>
    <t>peat, moraine, glaciofluvial sediment and talus slope</t>
  </si>
  <si>
    <t>3 trees in the cellulose (pool)</t>
  </si>
  <si>
    <t>mixed sample</t>
  </si>
  <si>
    <t>sample preparation and sample pooled - see Ref. for methods.</t>
  </si>
  <si>
    <t>DOI 10.1007/s00382-011-1246-3. Also Kirchhefer publications for chronology.</t>
  </si>
  <si>
    <t>Hakervalen</t>
  </si>
  <si>
    <t>Hackervalen</t>
  </si>
  <si>
    <t>peat overlying bedrock</t>
  </si>
  <si>
    <t>annual pool prepared from multiple trees.</t>
  </si>
  <si>
    <t>unpublished. Hans may have additional data.</t>
  </si>
  <si>
    <t>ULL4035x</t>
  </si>
  <si>
    <t>Mean values between 2 samples: TOR01 AND Tornetraesk B</t>
  </si>
  <si>
    <t>TOR POOL B (3 trees: TOR26048,TOR26082,ALA138)</t>
  </si>
  <si>
    <t>cellulose pool d</t>
  </si>
  <si>
    <t>sample preparation in pools - see Ref. for methods.</t>
  </si>
  <si>
    <t>DOI: 10.1016/j.quascirev.2012.11.014. Also Grudd publications for chronology.</t>
  </si>
  <si>
    <t>ELMA3468/CRE113A</t>
  </si>
  <si>
    <t>flat</t>
  </si>
  <si>
    <t>lava substrate</t>
  </si>
  <si>
    <t>Not available</t>
  </si>
  <si>
    <t>Henri D. Grissino-Mayer, 1996. A 2129 Year Reconstruction of Precipitation for Northwestern New Mexico, USA. Pages 191–204 in J.S. Dean, D.M. Meko, and T.W. Swetnam, eds., Tree Rings, Environment, and Humanity. Radiocarbon 1996, The University of Arizona Press: Tucson.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</si>
</sst>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30" x14ac:knownFonts="1">
    <font>
      <sz val="12"/>
      <color theme="1"/>
      <name val="Calibri"/>
      <family val="2"/>
      <scheme val="minor"/>
    </font>
    <font>
      <sz val="12"/>
      <color rgb="FFFF0000"/>
      <name val="Calibri"/>
      <family val="2"/>
      <scheme val="minor"/>
    </font>
    <font>
      <b/>
      <sz val="12"/>
      <color theme="1"/>
      <name val="Calibri"/>
      <family val="2"/>
      <scheme val="minor"/>
    </font>
    <font>
      <sz val="12"/>
      <color theme="0" tint="-0.499984740745262"/>
      <name val="Calibri"/>
      <family val="2"/>
      <scheme val="minor"/>
    </font>
    <font>
      <sz val="12"/>
      <name val="Calibri"/>
      <family val="2"/>
      <scheme val="minor"/>
    </font>
    <font>
      <b/>
      <sz val="12"/>
      <color rgb="FFFF0000"/>
      <name val="Calibri"/>
      <family val="2"/>
      <scheme val="minor"/>
    </font>
    <font>
      <sz val="11"/>
      <color theme="1"/>
      <name val="Calibri"/>
      <family val="2"/>
      <scheme val="minor"/>
    </font>
    <font>
      <b/>
      <sz val="20"/>
      <color theme="1"/>
      <name val="Calibri"/>
      <family val="2"/>
      <scheme val="minor"/>
    </font>
    <font>
      <sz val="12"/>
      <color theme="1"/>
      <name val="Calibri"/>
      <family val="2"/>
    </font>
    <font>
      <sz val="20"/>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9"/>
      <color indexed="81"/>
      <name val="Tahoma"/>
      <family val="2"/>
    </font>
    <font>
      <sz val="9"/>
      <color indexed="81"/>
      <name val="Tahoma"/>
      <family val="2"/>
    </font>
    <font>
      <sz val="10"/>
      <color theme="1"/>
      <name val="Calibri"/>
      <family val="2"/>
      <scheme val="minor"/>
    </font>
    <font>
      <sz val="10"/>
      <color theme="7" tint="-0.249977111117893"/>
      <name val="Calibri"/>
      <family val="2"/>
      <scheme val="minor"/>
    </font>
    <font>
      <sz val="12"/>
      <color rgb="FFFF0000"/>
      <name val="Calibri (Body)"/>
    </font>
    <font>
      <sz val="11"/>
      <name val="Calibri"/>
      <family val="2"/>
      <scheme val="minor"/>
    </font>
    <font>
      <i/>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sz val="11"/>
      <color rgb="FF00B050"/>
      <name val="Calibri"/>
      <family val="2"/>
      <scheme val="minor"/>
    </font>
    <font>
      <sz val="11"/>
      <color rgb="FFFF0000"/>
      <name val="Calibri"/>
      <family val="2"/>
      <scheme val="minor"/>
    </font>
    <font>
      <i/>
      <sz val="11"/>
      <color rgb="FFFF0000"/>
      <name val="Calibri"/>
      <family val="2"/>
      <scheme val="minor"/>
    </font>
    <font>
      <sz val="11"/>
      <name val="Calibri"/>
      <family val="2"/>
    </font>
    <font>
      <sz val="11"/>
      <color rgb="FF000000"/>
      <name val="Calibri"/>
      <family val="2"/>
      <scheme val="minor"/>
    </font>
    <font>
      <sz val="10"/>
      <name val="Arial"/>
      <family val="2"/>
    </font>
    <font>
      <sz val="11"/>
      <color theme="1"/>
      <name val="Calibri"/>
      <family val="2"/>
    </font>
  </fonts>
  <fills count="12">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D3A2EB"/>
        <bgColor indexed="64"/>
      </patternFill>
    </fill>
    <fill>
      <patternFill patternType="solid">
        <fgColor theme="3" tint="0.59999389629810485"/>
        <bgColor indexed="64"/>
      </patternFill>
    </fill>
    <fill>
      <patternFill patternType="solid">
        <fgColor theme="3" tint="0.39997558519241921"/>
        <bgColor indexed="64"/>
      </patternFill>
    </fill>
  </fills>
  <borders count="13">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45">
    <xf numFmtId="0" fontId="0" fillId="0" borderId="0"/>
    <xf numFmtId="0" fontId="6"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8" fillId="0" borderId="0"/>
  </cellStyleXfs>
  <cellXfs count="255">
    <xf numFmtId="0" fontId="0" fillId="0" borderId="0" xfId="0"/>
    <xf numFmtId="164" fontId="0" fillId="2" borderId="0" xfId="0" applyNumberFormat="1" applyFill="1" applyBorder="1" applyAlignment="1">
      <alignment horizontal="center" vertical="center" wrapText="1"/>
    </xf>
    <xf numFmtId="164" fontId="0" fillId="3" borderId="0"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0" xfId="0" applyFill="1"/>
    <xf numFmtId="0" fontId="3" fillId="0" borderId="0" xfId="0" applyFont="1"/>
    <xf numFmtId="164" fontId="0" fillId="2" borderId="1" xfId="0" applyNumberFormat="1" applyFill="1" applyBorder="1" applyAlignment="1">
      <alignment horizontal="center" vertical="center" wrapText="1"/>
    </xf>
    <xf numFmtId="0" fontId="0" fillId="0" borderId="0" xfId="0" applyFont="1"/>
    <xf numFmtId="0" fontId="0" fillId="0" borderId="0" xfId="0" applyAlignment="1">
      <alignment horizontal="center"/>
    </xf>
    <xf numFmtId="0" fontId="0" fillId="3" borderId="0" xfId="0" applyFill="1" applyAlignment="1">
      <alignment horizontal="center"/>
    </xf>
    <xf numFmtId="0" fontId="2" fillId="0" borderId="0" xfId="0" applyFont="1"/>
    <xf numFmtId="2" fontId="0" fillId="3" borderId="0" xfId="0" applyNumberFormat="1" applyFill="1"/>
    <xf numFmtId="2" fontId="0" fillId="3" borderId="0" xfId="0" applyNumberFormat="1" applyFill="1" applyAlignment="1">
      <alignment horizontal="center"/>
    </xf>
    <xf numFmtId="0" fontId="1" fillId="0" borderId="0" xfId="0" applyFont="1"/>
    <xf numFmtId="164" fontId="1" fillId="2" borderId="0" xfId="0" applyNumberFormat="1" applyFont="1" applyFill="1" applyBorder="1" applyAlignment="1">
      <alignment horizontal="center" vertical="center" wrapText="1"/>
    </xf>
    <xf numFmtId="0" fontId="0" fillId="0" borderId="0" xfId="0" applyFont="1" applyAlignment="1">
      <alignment horizontal="center"/>
    </xf>
    <xf numFmtId="165" fontId="0" fillId="2" borderId="0" xfId="0" applyNumberFormat="1" applyFill="1" applyAlignment="1">
      <alignment horizontal="center" vertical="center" wrapText="1"/>
    </xf>
    <xf numFmtId="164" fontId="0" fillId="2" borderId="0" xfId="0" applyNumberFormat="1" applyFill="1" applyAlignment="1">
      <alignment horizontal="center" vertical="center" wrapText="1"/>
    </xf>
    <xf numFmtId="164" fontId="1" fillId="2" borderId="0" xfId="0" applyNumberFormat="1" applyFont="1" applyFill="1" applyAlignment="1">
      <alignment horizontal="center" vertical="center" wrapText="1"/>
    </xf>
    <xf numFmtId="165" fontId="0" fillId="3" borderId="0" xfId="0" applyNumberFormat="1" applyFill="1" applyBorder="1" applyAlignment="1">
      <alignment horizontal="center" vertical="center" wrapText="1"/>
    </xf>
    <xf numFmtId="2" fontId="0" fillId="0" borderId="0" xfId="0" applyNumberFormat="1"/>
    <xf numFmtId="2" fontId="0" fillId="2" borderId="0" xfId="0" applyNumberFormat="1" applyFill="1" applyBorder="1" applyAlignment="1">
      <alignment horizontal="center" vertical="center" wrapText="1"/>
    </xf>
    <xf numFmtId="2" fontId="0" fillId="3" borderId="0" xfId="0" applyNumberFormat="1" applyFill="1" applyBorder="1" applyAlignment="1">
      <alignment horizontal="center" vertical="center" wrapText="1"/>
    </xf>
    <xf numFmtId="0" fontId="0" fillId="4" borderId="0" xfId="0" applyFont="1" applyFill="1"/>
    <xf numFmtId="2" fontId="0" fillId="4" borderId="0" xfId="0" applyNumberFormat="1" applyFont="1" applyFill="1"/>
    <xf numFmtId="2" fontId="0" fillId="4" borderId="0" xfId="0" applyNumberFormat="1" applyFont="1" applyFill="1" applyBorder="1" applyAlignment="1">
      <alignment horizontal="center" vertical="center" wrapText="1"/>
    </xf>
    <xf numFmtId="164" fontId="0" fillId="5" borderId="0" xfId="0" applyNumberFormat="1" applyFill="1" applyBorder="1" applyAlignment="1">
      <alignment horizontal="center" vertical="center" wrapText="1"/>
    </xf>
    <xf numFmtId="165" fontId="0" fillId="2" borderId="0" xfId="0" applyNumberFormat="1" applyFill="1" applyBorder="1" applyAlignment="1">
      <alignment horizontal="center" vertical="center" wrapText="1"/>
    </xf>
    <xf numFmtId="164" fontId="0" fillId="6" borderId="0" xfId="0" applyNumberFormat="1" applyFill="1" applyBorder="1" applyAlignment="1">
      <alignment horizontal="center" vertical="center" wrapText="1"/>
    </xf>
    <xf numFmtId="165" fontId="0" fillId="6" borderId="0" xfId="0" applyNumberFormat="1" applyFill="1" applyBorder="1" applyAlignment="1">
      <alignment horizontal="center" vertical="center" wrapText="1"/>
    </xf>
    <xf numFmtId="164" fontId="0" fillId="7" borderId="0" xfId="0" applyNumberFormat="1" applyFill="1" applyBorder="1" applyAlignment="1">
      <alignment horizontal="center" vertical="center" wrapText="1"/>
    </xf>
    <xf numFmtId="165" fontId="0" fillId="7" borderId="0" xfId="0" applyNumberFormat="1" applyFill="1" applyBorder="1" applyAlignment="1">
      <alignment horizontal="center" vertical="center" wrapText="1"/>
    </xf>
    <xf numFmtId="165" fontId="0" fillId="3" borderId="2"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64" fontId="0" fillId="3" borderId="3" xfId="0" applyNumberFormat="1" applyFill="1" applyBorder="1" applyAlignment="1">
      <alignment horizontal="center" vertical="center" wrapText="1"/>
    </xf>
    <xf numFmtId="1" fontId="0" fillId="3" borderId="0" xfId="0" applyNumberFormat="1" applyFill="1" applyBorder="1" applyAlignment="1">
      <alignment horizontal="center" vertical="center" wrapText="1"/>
    </xf>
    <xf numFmtId="164" fontId="0" fillId="7" borderId="1"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5" fontId="0" fillId="2" borderId="2" xfId="0" applyNumberFormat="1" applyFill="1" applyBorder="1" applyAlignment="1">
      <alignment horizontal="center" vertical="center" wrapText="1"/>
    </xf>
    <xf numFmtId="165" fontId="0" fillId="2" borderId="1" xfId="0" applyNumberFormat="1" applyFill="1" applyBorder="1" applyAlignment="1">
      <alignment horizontal="center" vertical="center" wrapText="1"/>
    </xf>
    <xf numFmtId="164" fontId="0" fillId="2" borderId="3" xfId="0" applyNumberFormat="1" applyFill="1" applyBorder="1" applyAlignment="1">
      <alignment horizontal="center" vertical="center" wrapText="1"/>
    </xf>
    <xf numFmtId="1" fontId="0" fillId="2" borderId="0" xfId="0" applyNumberFormat="1" applyFill="1" applyBorder="1" applyAlignment="1">
      <alignment horizontal="center" vertical="center" wrapText="1"/>
    </xf>
    <xf numFmtId="165" fontId="0" fillId="6" borderId="2" xfId="0" applyNumberFormat="1" applyFill="1" applyBorder="1" applyAlignment="1">
      <alignment horizontal="center" vertical="center" wrapText="1"/>
    </xf>
    <xf numFmtId="165" fontId="0" fillId="6" borderId="1" xfId="0" applyNumberFormat="1" applyFill="1" applyBorder="1" applyAlignment="1">
      <alignment horizontal="center" vertical="center" wrapText="1"/>
    </xf>
    <xf numFmtId="164" fontId="0" fillId="6" borderId="3" xfId="0" applyNumberFormat="1" applyFill="1" applyBorder="1" applyAlignment="1">
      <alignment horizontal="center" vertical="center" wrapText="1"/>
    </xf>
    <xf numFmtId="1" fontId="0" fillId="6" borderId="0" xfId="0" applyNumberFormat="1" applyFill="1" applyBorder="1" applyAlignment="1">
      <alignment horizontal="center" vertical="center" wrapText="1"/>
    </xf>
    <xf numFmtId="2" fontId="0" fillId="6" borderId="0" xfId="0" applyNumberFormat="1" applyFill="1" applyBorder="1" applyAlignment="1">
      <alignment horizontal="center" vertical="center" wrapText="1"/>
    </xf>
    <xf numFmtId="165" fontId="0" fillId="7" borderId="2" xfId="0" applyNumberFormat="1" applyFill="1" applyBorder="1" applyAlignment="1">
      <alignment horizontal="center" vertical="center" wrapText="1"/>
    </xf>
    <xf numFmtId="165" fontId="0" fillId="7" borderId="1" xfId="0" applyNumberFormat="1" applyFill="1" applyBorder="1" applyAlignment="1">
      <alignment horizontal="center" vertical="center" wrapText="1"/>
    </xf>
    <xf numFmtId="164" fontId="0" fillId="7" borderId="3" xfId="0" applyNumberFormat="1" applyFill="1" applyBorder="1" applyAlignment="1">
      <alignment horizontal="center" vertical="center" wrapText="1"/>
    </xf>
    <xf numFmtId="1" fontId="0" fillId="7" borderId="0" xfId="0" applyNumberFormat="1" applyFill="1" applyBorder="1" applyAlignment="1">
      <alignment horizontal="center" vertical="center" wrapText="1"/>
    </xf>
    <xf numFmtId="2" fontId="0" fillId="7" borderId="0" xfId="0" applyNumberFormat="1" applyFill="1" applyBorder="1" applyAlignment="1">
      <alignment horizontal="center" vertical="center" wrapText="1"/>
    </xf>
    <xf numFmtId="0" fontId="0" fillId="0" borderId="0" xfId="0" applyFill="1"/>
    <xf numFmtId="164" fontId="0" fillId="0" borderId="0" xfId="0" applyNumberFormat="1" applyFill="1" applyBorder="1" applyAlignment="1">
      <alignment horizontal="center" vertical="center" wrapText="1"/>
    </xf>
    <xf numFmtId="164" fontId="0" fillId="0" borderId="0" xfId="0" applyNumberFormat="1"/>
    <xf numFmtId="164" fontId="0" fillId="5" borderId="0" xfId="0" applyNumberFormat="1" applyFill="1"/>
    <xf numFmtId="2" fontId="0" fillId="5" borderId="0" xfId="0" applyNumberFormat="1" applyFill="1" applyBorder="1" applyAlignment="1">
      <alignment horizontal="center" vertical="center" wrapText="1"/>
    </xf>
    <xf numFmtId="166" fontId="0" fillId="3" borderId="0" xfId="0" applyNumberFormat="1" applyFill="1" applyBorder="1" applyAlignment="1">
      <alignment horizontal="center" vertical="center" wrapText="1"/>
    </xf>
    <xf numFmtId="166" fontId="0" fillId="0" borderId="0" xfId="0" applyNumberFormat="1"/>
    <xf numFmtId="166" fontId="0" fillId="5" borderId="0" xfId="0" applyNumberFormat="1" applyFill="1" applyBorder="1" applyAlignment="1">
      <alignment horizontal="center" vertical="center" wrapText="1"/>
    </xf>
    <xf numFmtId="166" fontId="0" fillId="2" borderId="0" xfId="0" applyNumberFormat="1" applyFill="1" applyBorder="1" applyAlignment="1">
      <alignment horizontal="center" vertical="center" wrapText="1"/>
    </xf>
    <xf numFmtId="166" fontId="2" fillId="5" borderId="0" xfId="0" applyNumberFormat="1" applyFont="1" applyFill="1"/>
    <xf numFmtId="166" fontId="0" fillId="5" borderId="0" xfId="0" applyNumberFormat="1" applyFill="1"/>
    <xf numFmtId="166" fontId="2" fillId="0" borderId="0" xfId="0" applyNumberFormat="1" applyFont="1"/>
    <xf numFmtId="0" fontId="0" fillId="0" borderId="5" xfId="0" applyBorder="1"/>
    <xf numFmtId="164" fontId="0" fillId="0" borderId="5" xfId="0" applyNumberFormat="1" applyBorder="1"/>
    <xf numFmtId="164" fontId="0" fillId="0" borderId="5" xfId="0" applyNumberFormat="1" applyBorder="1" applyAlignment="1">
      <alignment horizontal="center"/>
    </xf>
    <xf numFmtId="164" fontId="0" fillId="0" borderId="5" xfId="0" applyNumberFormat="1" applyBorder="1" applyAlignment="1">
      <alignment horizontal="left"/>
    </xf>
    <xf numFmtId="2" fontId="0" fillId="0" borderId="5" xfId="0" applyNumberFormat="1" applyBorder="1"/>
    <xf numFmtId="0" fontId="5" fillId="0" borderId="0" xfId="0" applyFont="1"/>
    <xf numFmtId="0" fontId="5" fillId="0" borderId="0" xfId="0" applyFont="1" applyAlignment="1">
      <alignment horizontal="center"/>
    </xf>
    <xf numFmtId="2" fontId="0" fillId="0" borderId="5" xfId="0" applyNumberFormat="1" applyBorder="1" applyAlignment="1">
      <alignment horizontal="center"/>
    </xf>
    <xf numFmtId="2" fontId="3" fillId="0" borderId="0" xfId="0" applyNumberFormat="1" applyFont="1"/>
    <xf numFmtId="0" fontId="0" fillId="0" borderId="0" xfId="0" applyBorder="1"/>
    <xf numFmtId="164" fontId="0" fillId="0" borderId="0" xfId="0" applyNumberFormat="1" applyBorder="1"/>
    <xf numFmtId="164" fontId="0" fillId="0" borderId="0" xfId="0" applyNumberFormat="1" applyBorder="1" applyAlignment="1">
      <alignment horizontal="center"/>
    </xf>
    <xf numFmtId="164" fontId="0" fillId="0" borderId="0" xfId="0" applyNumberFormat="1" applyBorder="1" applyAlignment="1">
      <alignment horizontal="left"/>
    </xf>
    <xf numFmtId="2" fontId="0" fillId="0" borderId="0" xfId="0" applyNumberFormat="1" applyBorder="1"/>
    <xf numFmtId="2" fontId="0" fillId="0" borderId="0" xfId="0" applyNumberFormat="1" applyBorder="1" applyAlignment="1">
      <alignment horizontal="center"/>
    </xf>
    <xf numFmtId="0" fontId="0" fillId="0" borderId="3" xfId="0" applyBorder="1"/>
    <xf numFmtId="0" fontId="0" fillId="0" borderId="9" xfId="0" applyBorder="1"/>
    <xf numFmtId="0" fontId="0" fillId="0" borderId="7" xfId="0" applyBorder="1"/>
    <xf numFmtId="0" fontId="0" fillId="0" borderId="10" xfId="0" applyBorder="1"/>
    <xf numFmtId="0" fontId="0" fillId="0" borderId="11" xfId="0" applyBorder="1"/>
    <xf numFmtId="2" fontId="0" fillId="0" borderId="9" xfId="0" applyNumberFormat="1" applyBorder="1" applyAlignment="1">
      <alignment horizontal="left"/>
    </xf>
    <xf numFmtId="2" fontId="0" fillId="0" borderId="11" xfId="0" applyNumberFormat="1" applyBorder="1" applyAlignment="1">
      <alignment horizontal="left"/>
    </xf>
    <xf numFmtId="0" fontId="0" fillId="0" borderId="12" xfId="0" applyBorder="1"/>
    <xf numFmtId="0" fontId="0" fillId="0" borderId="12" xfId="0" applyBorder="1" applyAlignment="1">
      <alignment horizontal="center" vertical="center"/>
    </xf>
    <xf numFmtId="2" fontId="0" fillId="0" borderId="9" xfId="0" applyNumberFormat="1" applyFont="1" applyBorder="1" applyAlignment="1">
      <alignment horizontal="left"/>
    </xf>
    <xf numFmtId="2" fontId="0" fillId="0" borderId="11" xfId="0" applyNumberFormat="1" applyFont="1" applyBorder="1" applyAlignment="1">
      <alignment horizontal="left"/>
    </xf>
    <xf numFmtId="164" fontId="0" fillId="9" borderId="0" xfId="0" applyNumberFormat="1" applyFill="1" applyBorder="1" applyAlignment="1">
      <alignment horizontal="center" vertical="center" wrapText="1"/>
    </xf>
    <xf numFmtId="1" fontId="0" fillId="9" borderId="0" xfId="0" applyNumberFormat="1" applyFill="1" applyAlignment="1">
      <alignment horizontal="center" vertical="center" wrapText="1"/>
    </xf>
    <xf numFmtId="2" fontId="0" fillId="9" borderId="0" xfId="0" applyNumberFormat="1" applyFill="1" applyBorder="1" applyAlignment="1" applyProtection="1">
      <alignment horizontal="center" vertical="center" wrapText="1"/>
    </xf>
    <xf numFmtId="2" fontId="0" fillId="9" borderId="0" xfId="0" applyNumberFormat="1" applyFill="1" applyBorder="1" applyAlignment="1">
      <alignment horizontal="center" vertical="center" wrapText="1"/>
    </xf>
    <xf numFmtId="164" fontId="4" fillId="9" borderId="0" xfId="0" applyNumberFormat="1" applyFont="1" applyFill="1" applyBorder="1" applyAlignment="1">
      <alignment horizontal="center" vertical="center" wrapText="1"/>
    </xf>
    <xf numFmtId="0" fontId="0" fillId="10" borderId="0" xfId="0" applyFill="1"/>
    <xf numFmtId="0" fontId="1" fillId="10" borderId="0" xfId="0" applyFont="1" applyFill="1"/>
    <xf numFmtId="164" fontId="0" fillId="10" borderId="0" xfId="0" applyNumberFormat="1" applyFill="1" applyBorder="1" applyAlignment="1">
      <alignment horizontal="center" vertical="center" wrapText="1"/>
    </xf>
    <xf numFmtId="164" fontId="0" fillId="10" borderId="0" xfId="0" applyNumberFormat="1" applyFill="1" applyAlignment="1">
      <alignment horizontal="center" vertical="center" wrapText="1"/>
    </xf>
    <xf numFmtId="164" fontId="1" fillId="10" borderId="0" xfId="0" applyNumberFormat="1" applyFont="1" applyFill="1" applyBorder="1" applyAlignment="1">
      <alignment horizontal="center" vertical="center" wrapText="1"/>
    </xf>
    <xf numFmtId="164" fontId="0" fillId="10" borderId="0" xfId="0" applyNumberFormat="1" applyFont="1" applyFill="1" applyBorder="1" applyAlignment="1">
      <alignment horizontal="center" vertical="center" wrapText="1"/>
    </xf>
    <xf numFmtId="0" fontId="1" fillId="0" borderId="0" xfId="0" applyFont="1" applyFill="1"/>
    <xf numFmtId="0" fontId="0" fillId="0" borderId="0" xfId="0" applyFill="1" applyAlignment="1">
      <alignment horizontal="center"/>
    </xf>
    <xf numFmtId="2" fontId="0" fillId="2" borderId="0" xfId="0" applyNumberFormat="1" applyFill="1"/>
    <xf numFmtId="2" fontId="0" fillId="11" borderId="0" xfId="0" applyNumberFormat="1" applyFill="1"/>
    <xf numFmtId="164" fontId="0" fillId="11" borderId="0" xfId="0" applyNumberFormat="1" applyFill="1" applyBorder="1" applyAlignment="1">
      <alignment horizontal="center" vertical="center" wrapText="1"/>
    </xf>
    <xf numFmtId="164" fontId="0" fillId="8" borderId="0" xfId="0" applyNumberFormat="1" applyFill="1" applyBorder="1" applyAlignment="1">
      <alignment horizontal="center" vertical="center" wrapText="1"/>
    </xf>
    <xf numFmtId="164" fontId="1" fillId="8" borderId="0" xfId="0" applyNumberFormat="1" applyFont="1" applyFill="1" applyBorder="1" applyAlignment="1">
      <alignment horizontal="center" vertical="center" wrapText="1"/>
    </xf>
    <xf numFmtId="164" fontId="0" fillId="8" borderId="0" xfId="0" applyNumberFormat="1" applyFill="1" applyBorder="1" applyAlignment="1" applyProtection="1">
      <alignment horizontal="center" vertical="center" wrapText="1"/>
    </xf>
    <xf numFmtId="0" fontId="2" fillId="8" borderId="0" xfId="0" applyFont="1" applyFill="1"/>
    <xf numFmtId="0" fontId="0" fillId="8" borderId="0" xfId="0" applyFill="1"/>
    <xf numFmtId="0" fontId="1" fillId="8" borderId="0" xfId="0" applyFont="1" applyFill="1"/>
    <xf numFmtId="0" fontId="3" fillId="8" borderId="0" xfId="0" applyFont="1" applyFill="1"/>
    <xf numFmtId="0" fontId="0" fillId="0" borderId="0" xfId="0" applyFont="1" applyBorder="1"/>
    <xf numFmtId="0" fontId="0" fillId="0" borderId="0" xfId="0" applyFont="1" applyBorder="1" applyAlignment="1">
      <alignment horizontal="center"/>
    </xf>
    <xf numFmtId="2" fontId="0" fillId="0" borderId="0" xfId="0" applyNumberFormat="1" applyFont="1" applyBorder="1"/>
    <xf numFmtId="164" fontId="0" fillId="0" borderId="0" xfId="0" applyNumberFormat="1" applyFont="1" applyBorder="1" applyAlignment="1">
      <alignment horizontal="center"/>
    </xf>
    <xf numFmtId="2" fontId="0" fillId="0" borderId="0" xfId="0" applyNumberFormat="1" applyFont="1" applyBorder="1" applyAlignment="1">
      <alignment horizontal="left"/>
    </xf>
    <xf numFmtId="2" fontId="0" fillId="0" borderId="5" xfId="0" applyNumberFormat="1" applyFont="1" applyBorder="1"/>
    <xf numFmtId="164" fontId="0" fillId="0" borderId="5" xfId="0" applyNumberFormat="1" applyFont="1" applyBorder="1" applyAlignment="1">
      <alignment horizontal="center"/>
    </xf>
    <xf numFmtId="2" fontId="0" fillId="0" borderId="5" xfId="0" applyNumberFormat="1" applyFont="1" applyBorder="1" applyAlignment="1">
      <alignment horizontal="left"/>
    </xf>
    <xf numFmtId="0" fontId="0" fillId="0" borderId="5" xfId="0" applyFont="1" applyBorder="1" applyAlignment="1">
      <alignment horizontal="center"/>
    </xf>
    <xf numFmtId="0" fontId="0" fillId="0" borderId="0" xfId="0" applyFill="1" applyBorder="1"/>
    <xf numFmtId="2" fontId="0" fillId="0" borderId="0" xfId="0" applyNumberFormat="1" applyFill="1" applyBorder="1" applyAlignment="1">
      <alignment horizontal="left"/>
    </xf>
    <xf numFmtId="164" fontId="0" fillId="0" borderId="0" xfId="0" applyNumberFormat="1" applyFill="1" applyBorder="1" applyAlignment="1">
      <alignment horizontal="center"/>
    </xf>
    <xf numFmtId="164" fontId="0" fillId="0" borderId="0" xfId="0" applyNumberFormat="1" applyFill="1" applyBorder="1" applyAlignment="1">
      <alignment horizontal="left"/>
    </xf>
    <xf numFmtId="2" fontId="0" fillId="0" borderId="5" xfId="0" applyNumberFormat="1" applyFill="1" applyBorder="1" applyAlignment="1">
      <alignment horizontal="left"/>
    </xf>
    <xf numFmtId="164" fontId="0" fillId="0" borderId="5" xfId="0" applyNumberFormat="1" applyFill="1" applyBorder="1" applyAlignment="1">
      <alignment horizontal="left"/>
    </xf>
    <xf numFmtId="164" fontId="0" fillId="0" borderId="5" xfId="0" applyNumberFormat="1" applyFill="1" applyBorder="1" applyAlignment="1">
      <alignment horizontal="center"/>
    </xf>
    <xf numFmtId="164" fontId="0" fillId="0" borderId="0" xfId="0" applyNumberFormat="1" applyFont="1" applyFill="1" applyBorder="1" applyAlignment="1">
      <alignment horizontal="center"/>
    </xf>
    <xf numFmtId="164" fontId="0" fillId="0" borderId="0" xfId="0" applyNumberFormat="1" applyFont="1" applyFill="1" applyBorder="1" applyAlignment="1">
      <alignment horizontal="left"/>
    </xf>
    <xf numFmtId="164" fontId="0" fillId="0" borderId="5" xfId="0" applyNumberFormat="1" applyFont="1" applyFill="1" applyBorder="1" applyAlignment="1">
      <alignment horizontal="center"/>
    </xf>
    <xf numFmtId="164" fontId="0" fillId="0" borderId="5" xfId="0" applyNumberFormat="1" applyFont="1" applyFill="1" applyBorder="1" applyAlignment="1">
      <alignment horizontal="left"/>
    </xf>
    <xf numFmtId="164" fontId="0" fillId="0" borderId="6" xfId="0" applyNumberFormat="1" applyFill="1" applyBorder="1" applyAlignment="1">
      <alignment horizontal="center"/>
    </xf>
    <xf numFmtId="2" fontId="0" fillId="0" borderId="0" xfId="0" applyNumberFormat="1" applyFont="1" applyFill="1" applyBorder="1" applyAlignment="1">
      <alignment horizontal="left"/>
    </xf>
    <xf numFmtId="2" fontId="0" fillId="0" borderId="5" xfId="0" applyNumberFormat="1" applyFont="1" applyFill="1" applyBorder="1" applyAlignment="1">
      <alignment horizontal="left"/>
    </xf>
    <xf numFmtId="0" fontId="0" fillId="0" borderId="0" xfId="0" applyFill="1" applyBorder="1" applyAlignment="1">
      <alignment horizontal="right"/>
    </xf>
    <xf numFmtId="2" fontId="0" fillId="0" borderId="0" xfId="0" applyNumberFormat="1" applyFill="1" applyBorder="1" applyAlignment="1">
      <alignment horizontal="right"/>
    </xf>
    <xf numFmtId="2" fontId="0" fillId="0" borderId="5" xfId="0" applyNumberFormat="1" applyFill="1" applyBorder="1" applyAlignment="1">
      <alignment horizontal="right"/>
    </xf>
    <xf numFmtId="0" fontId="0" fillId="0" borderId="0" xfId="0" applyFill="1" applyAlignment="1">
      <alignment horizontal="right"/>
    </xf>
    <xf numFmtId="0" fontId="0" fillId="0" borderId="0" xfId="0" applyAlignment="1">
      <alignment wrapText="1"/>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4" xfId="0" applyBorder="1" applyAlignment="1">
      <alignment horizontal="center" wrapText="1"/>
    </xf>
    <xf numFmtId="0" fontId="15" fillId="2" borderId="0" xfId="1" applyFont="1" applyFill="1" applyAlignment="1">
      <alignment vertical="center" wrapText="1"/>
    </xf>
    <xf numFmtId="0" fontId="15" fillId="0" borderId="0" xfId="0" applyFont="1"/>
    <xf numFmtId="0" fontId="15" fillId="10" borderId="0" xfId="1" applyFont="1" applyFill="1" applyAlignment="1">
      <alignment vertical="center" wrapText="1"/>
    </xf>
    <xf numFmtId="0" fontId="16" fillId="0" borderId="0" xfId="0" applyFont="1"/>
    <xf numFmtId="0" fontId="15" fillId="9" borderId="0" xfId="1" applyFont="1" applyFill="1" applyAlignment="1">
      <alignment vertical="center" wrapText="1"/>
    </xf>
    <xf numFmtId="0" fontId="15" fillId="8" borderId="0" xfId="0" applyFont="1" applyFill="1" applyBorder="1" applyAlignment="1">
      <alignment horizontal="left" vertical="center" wrapText="1"/>
    </xf>
    <xf numFmtId="0" fontId="15" fillId="0" borderId="0" xfId="0" applyFont="1" applyAlignment="1">
      <alignment horizontal="center"/>
    </xf>
    <xf numFmtId="0" fontId="15" fillId="0" borderId="7"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6" xfId="1" applyFont="1" applyFill="1" applyBorder="1" applyAlignment="1">
      <alignment vertical="center" wrapText="1"/>
    </xf>
    <xf numFmtId="0" fontId="15" fillId="0" borderId="6"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3" xfId="1" applyFont="1" applyFill="1" applyBorder="1" applyAlignment="1">
      <alignment vertical="center" wrapText="1"/>
    </xf>
    <xf numFmtId="0" fontId="15"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15" fillId="0" borderId="9" xfId="1" applyFont="1" applyFill="1" applyBorder="1" applyAlignment="1">
      <alignment horizontal="center" vertical="center" wrapText="1"/>
    </xf>
    <xf numFmtId="165" fontId="15" fillId="0" borderId="3" xfId="0" applyNumberFormat="1" applyFont="1" applyFill="1" applyBorder="1" applyAlignment="1">
      <alignment horizontal="left" vertical="center" wrapText="1"/>
    </xf>
    <xf numFmtId="165" fontId="15" fillId="0" borderId="0" xfId="0"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0" xfId="1" applyFont="1" applyFill="1" applyBorder="1" applyAlignment="1">
      <alignment vertical="center" wrapText="1"/>
    </xf>
    <xf numFmtId="0" fontId="15" fillId="0" borderId="5" xfId="1" applyFont="1" applyFill="1" applyBorder="1" applyAlignment="1">
      <alignment vertical="center" wrapText="1"/>
    </xf>
    <xf numFmtId="0" fontId="15" fillId="0" borderId="5"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8" fillId="0" borderId="0" xfId="1" applyFont="1" applyFill="1" applyBorder="1" applyAlignment="1">
      <alignment horizontal="center"/>
    </xf>
    <xf numFmtId="0" fontId="18" fillId="0" borderId="0" xfId="1" applyFont="1" applyFill="1" applyBorder="1" applyAlignment="1">
      <alignment horizontal="left"/>
    </xf>
    <xf numFmtId="0" fontId="19" fillId="0" borderId="0" xfId="1" applyFont="1" applyFill="1" applyBorder="1" applyAlignment="1">
      <alignment horizontal="left"/>
    </xf>
    <xf numFmtId="1" fontId="18" fillId="0" borderId="0" xfId="1" applyNumberFormat="1" applyFont="1" applyFill="1" applyBorder="1" applyAlignment="1">
      <alignment horizontal="center"/>
    </xf>
    <xf numFmtId="0" fontId="20" fillId="0" borderId="0" xfId="1" applyFont="1" applyFill="1" applyBorder="1" applyAlignment="1">
      <alignment horizontal="center"/>
    </xf>
    <xf numFmtId="0" fontId="20" fillId="0" borderId="0" xfId="1" applyFont="1" applyFill="1" applyBorder="1" applyAlignment="1">
      <alignment horizontal="left"/>
    </xf>
    <xf numFmtId="0" fontId="20" fillId="0" borderId="0" xfId="1" applyFont="1" applyFill="1" applyBorder="1" applyAlignment="1">
      <alignment horizontal="left" vertical="center"/>
    </xf>
    <xf numFmtId="1" fontId="20" fillId="0" borderId="0" xfId="1" applyNumberFormat="1" applyFont="1" applyFill="1" applyBorder="1" applyAlignment="1">
      <alignment horizontal="center"/>
    </xf>
    <xf numFmtId="0" fontId="6" fillId="0" borderId="0" xfId="1" applyFill="1" applyBorder="1" applyAlignment="1"/>
    <xf numFmtId="0" fontId="6" fillId="0" borderId="0" xfId="1" applyFill="1" applyBorder="1" applyAlignment="1">
      <alignment horizontal="left"/>
    </xf>
    <xf numFmtId="0" fontId="6" fillId="0" borderId="0" xfId="1" applyFont="1" applyFill="1" applyBorder="1" applyAlignment="1">
      <alignment horizontal="left"/>
    </xf>
    <xf numFmtId="0" fontId="22" fillId="0" borderId="0" xfId="1" applyFont="1" applyFill="1" applyBorder="1" applyAlignment="1">
      <alignment horizontal="left"/>
    </xf>
    <xf numFmtId="0" fontId="6" fillId="0" borderId="0" xfId="1" applyFont="1" applyFill="1" applyBorder="1" applyAlignment="1"/>
    <xf numFmtId="1" fontId="6" fillId="0" borderId="0" xfId="1" applyNumberFormat="1" applyFill="1" applyBorder="1" applyAlignment="1">
      <alignment horizontal="center"/>
    </xf>
    <xf numFmtId="0" fontId="18" fillId="0" borderId="0" xfId="1" applyFont="1" applyFill="1" applyAlignment="1">
      <alignment horizontal="left"/>
    </xf>
    <xf numFmtId="0" fontId="19" fillId="0" borderId="0" xfId="1" applyFont="1" applyFill="1" applyAlignment="1">
      <alignment horizontal="left"/>
    </xf>
    <xf numFmtId="0" fontId="23" fillId="0" borderId="0" xfId="1" applyFont="1" applyFill="1" applyBorder="1" applyAlignment="1">
      <alignment horizontal="left"/>
    </xf>
    <xf numFmtId="0" fontId="24" fillId="0" borderId="0" xfId="1" applyFont="1" applyFill="1" applyBorder="1" applyAlignment="1">
      <alignment horizontal="center"/>
    </xf>
    <xf numFmtId="0" fontId="24" fillId="0" borderId="0" xfId="1" applyFont="1" applyFill="1" applyAlignment="1">
      <alignment horizontal="left"/>
    </xf>
    <xf numFmtId="0" fontId="24" fillId="0" borderId="0" xfId="1" applyFont="1" applyFill="1" applyBorder="1" applyAlignment="1">
      <alignment horizontal="left"/>
    </xf>
    <xf numFmtId="0" fontId="25" fillId="0" borderId="0" xfId="1" applyFont="1" applyFill="1" applyAlignment="1">
      <alignment horizontal="left"/>
    </xf>
    <xf numFmtId="1" fontId="24" fillId="0" borderId="0" xfId="1" applyNumberFormat="1" applyFont="1" applyFill="1" applyBorder="1" applyAlignment="1">
      <alignment horizontal="center"/>
    </xf>
    <xf numFmtId="0" fontId="26" fillId="0" borderId="0" xfId="1" applyFont="1" applyFill="1" applyBorder="1" applyAlignment="1">
      <alignment horizontal="center"/>
    </xf>
    <xf numFmtId="0" fontId="18" fillId="0" borderId="0" xfId="1" applyFont="1" applyFill="1" applyBorder="1" applyAlignment="1">
      <alignment horizontal="left" vertical="center"/>
    </xf>
    <xf numFmtId="0" fontId="6" fillId="0" borderId="0" xfId="1" applyFont="1" applyFill="1"/>
    <xf numFmtId="2" fontId="18" fillId="0" borderId="0" xfId="1" applyNumberFormat="1" applyFont="1" applyFill="1" applyBorder="1" applyAlignment="1">
      <alignment horizontal="left"/>
    </xf>
    <xf numFmtId="0" fontId="6" fillId="0" borderId="0" xfId="1" applyFill="1" applyAlignment="1">
      <alignment horizontal="left"/>
    </xf>
    <xf numFmtId="0" fontId="6" fillId="0" borderId="0" xfId="1" applyFont="1" applyFill="1" applyAlignment="1">
      <alignment horizontal="left"/>
    </xf>
    <xf numFmtId="0" fontId="19" fillId="0" borderId="0" xfId="1" applyFont="1" applyFill="1" applyAlignment="1">
      <alignment horizontal="left" vertical="center"/>
    </xf>
    <xf numFmtId="0" fontId="6" fillId="0" borderId="0" xfId="1" applyFill="1"/>
    <xf numFmtId="0" fontId="6" fillId="0" borderId="0" xfId="1" applyFill="1" applyAlignment="1"/>
    <xf numFmtId="0" fontId="6" fillId="0" borderId="0" xfId="1" applyFill="1" applyAlignment="1">
      <alignment horizontal="left" wrapText="1"/>
    </xf>
    <xf numFmtId="1" fontId="6" fillId="0" borderId="0" xfId="1" applyNumberFormat="1" applyFont="1" applyFill="1" applyAlignment="1">
      <alignment horizontal="center"/>
    </xf>
    <xf numFmtId="0" fontId="18" fillId="0" borderId="0" xfId="1" applyFont="1" applyFill="1"/>
    <xf numFmtId="0" fontId="6" fillId="0" borderId="0" xfId="1" applyFont="1" applyFill="1" applyAlignment="1">
      <alignment horizontal="left" vertical="center"/>
    </xf>
    <xf numFmtId="0" fontId="24" fillId="0" borderId="0" xfId="1" applyFont="1" applyFill="1"/>
    <xf numFmtId="0" fontId="27" fillId="0" borderId="0" xfId="1" applyFont="1" applyFill="1"/>
    <xf numFmtId="0" fontId="6" fillId="0" borderId="0" xfId="1" applyFont="1" applyFill="1" applyAlignment="1">
      <alignment vertical="center"/>
    </xf>
    <xf numFmtId="1" fontId="6" fillId="0" borderId="0" xfId="1" applyNumberFormat="1" applyFont="1" applyFill="1" applyAlignment="1">
      <alignment horizontal="center" vertical="center"/>
    </xf>
    <xf numFmtId="0" fontId="6" fillId="0" borderId="0" xfId="1" applyFont="1" applyFill="1" applyAlignment="1">
      <alignment vertical="center" wrapText="1"/>
    </xf>
    <xf numFmtId="0" fontId="29" fillId="0" borderId="0" xfId="1" applyFont="1" applyFill="1" applyAlignment="1">
      <alignment vertical="center"/>
    </xf>
    <xf numFmtId="0" fontId="18" fillId="0" borderId="0" xfId="1" applyFont="1" applyFill="1" applyBorder="1" applyAlignment="1"/>
    <xf numFmtId="0" fontId="18" fillId="0" borderId="0" xfId="1" applyFont="1" applyFill="1" applyBorder="1" applyAlignment="1">
      <alignment horizontal="left" vertical="center" wrapText="1"/>
    </xf>
    <xf numFmtId="0" fontId="20" fillId="0" borderId="0" xfId="1" applyFont="1" applyFill="1" applyBorder="1" applyAlignment="1">
      <alignment horizontal="center"/>
    </xf>
    <xf numFmtId="0" fontId="21" fillId="0" borderId="0" xfId="1" applyFont="1" applyFill="1" applyAlignment="1">
      <alignment horizontal="center"/>
    </xf>
    <xf numFmtId="0" fontId="6" fillId="0" borderId="0" xfId="1" applyFill="1" applyAlignment="1">
      <alignment horizontal="center"/>
    </xf>
    <xf numFmtId="0" fontId="0" fillId="0" borderId="1" xfId="0" applyBorder="1" applyAlignment="1">
      <alignment horizontal="center" wrapText="1"/>
    </xf>
    <xf numFmtId="164" fontId="0" fillId="8"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0" fillId="10" borderId="1" xfId="0" applyNumberFormat="1" applyFill="1" applyBorder="1" applyAlignment="1">
      <alignment horizontal="center" vertical="center" wrapText="1"/>
    </xf>
    <xf numFmtId="164" fontId="0" fillId="9" borderId="1" xfId="0" applyNumberForma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0" fillId="10" borderId="1" xfId="0" applyNumberFormat="1" applyFont="1" applyFill="1" applyBorder="1" applyAlignment="1">
      <alignment horizontal="center" vertical="center" wrapText="1"/>
    </xf>
    <xf numFmtId="164" fontId="1" fillId="10" borderId="1" xfId="0" applyNumberFormat="1" applyFont="1" applyFill="1" applyBorder="1" applyAlignment="1">
      <alignment horizontal="center" vertical="center" wrapText="1"/>
    </xf>
    <xf numFmtId="0" fontId="0" fillId="0" borderId="6" xfId="0" applyFill="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xf>
    <xf numFmtId="0" fontId="0" fillId="0" borderId="11" xfId="0" applyBorder="1" applyAlignment="1">
      <alignment horizontal="center"/>
    </xf>
    <xf numFmtId="0" fontId="7" fillId="0" borderId="7" xfId="0"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ill="1" applyBorder="1" applyAlignment="1">
      <alignment horizontal="center"/>
    </xf>
    <xf numFmtId="0" fontId="0" fillId="0" borderId="0" xfId="0" applyFont="1" applyFill="1" applyBorder="1" applyAlignment="1">
      <alignment horizontal="center" vertical="center"/>
    </xf>
    <xf numFmtId="0" fontId="0" fillId="0" borderId="12" xfId="0" applyBorder="1" applyAlignment="1">
      <alignment horizontal="center" vertical="center"/>
    </xf>
    <xf numFmtId="0" fontId="9" fillId="0" borderId="12" xfId="0" applyFont="1" applyBorder="1" applyAlignment="1">
      <alignment horizontal="center"/>
    </xf>
    <xf numFmtId="164" fontId="0" fillId="6" borderId="1" xfId="0" applyNumberFormat="1" applyFill="1" applyBorder="1" applyAlignment="1">
      <alignment horizontal="center" vertical="center" wrapText="1"/>
    </xf>
    <xf numFmtId="164" fontId="0" fillId="7" borderId="1" xfId="0" applyNumberFormat="1" applyFill="1" applyBorder="1" applyAlignment="1">
      <alignment horizontal="center" vertical="center" wrapText="1"/>
    </xf>
    <xf numFmtId="164" fontId="0" fillId="7" borderId="4" xfId="0" applyNumberFormat="1" applyFill="1" applyBorder="1" applyAlignment="1">
      <alignment horizontal="center" vertical="center" wrapText="1"/>
    </xf>
  </cellXfs>
  <cellStyles count="4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44"/>
    <cellStyle name="Normal 3" xfId="1"/>
  </cellStyles>
  <dxfs count="0"/>
  <tableStyles count="0" defaultTableStyle="TableStyleMedium9" defaultPivotStyle="PivotStyleMedium7"/>
  <colors>
    <mruColors>
      <color rgb="FFD3A2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8"/>
  <sheetViews>
    <sheetView tabSelected="1" zoomScale="90" zoomScaleNormal="90" zoomScalePageLayoutView="90" workbookViewId="0">
      <pane ySplit="2" topLeftCell="A3" activePane="bottomLeft" state="frozen"/>
      <selection pane="bottomLeft" activeCell="I1" sqref="I1:I1048576"/>
    </sheetView>
  </sheetViews>
  <sheetFormatPr baseColWidth="10" defaultColWidth="7.83203125" defaultRowHeight="15" x14ac:dyDescent="0.2"/>
  <cols>
    <col min="1" max="1" width="10.33203125" style="175" bestFit="1" customWidth="1"/>
    <col min="2" max="2" width="15.1640625" style="175" bestFit="1" customWidth="1"/>
    <col min="3" max="3" width="40" style="175" customWidth="1"/>
    <col min="4" max="4" width="11.5" style="176" bestFit="1" customWidth="1"/>
    <col min="5" max="5" width="22.83203125" style="176" bestFit="1" customWidth="1"/>
    <col min="6" max="6" width="31.5" style="176" customWidth="1"/>
    <col min="7" max="7" width="28.5" style="176" customWidth="1"/>
    <col min="8" max="8" width="35.33203125" style="176" bestFit="1" customWidth="1"/>
    <col min="9" max="9" width="13.6640625" style="176" bestFit="1" customWidth="1"/>
    <col min="10" max="10" width="27.83203125" style="176" customWidth="1"/>
    <col min="11" max="11" width="11.1640625" style="176" bestFit="1" customWidth="1"/>
    <col min="12" max="12" width="11.5" style="176" bestFit="1" customWidth="1"/>
    <col min="13" max="13" width="18.6640625" style="176" bestFit="1" customWidth="1"/>
    <col min="14" max="14" width="13.1640625" style="176" bestFit="1" customWidth="1"/>
    <col min="15" max="15" width="36.83203125" style="176" bestFit="1" customWidth="1"/>
    <col min="16" max="16" width="12.33203125" style="177" bestFit="1" customWidth="1"/>
    <col min="17" max="17" width="24" style="177" bestFit="1" customWidth="1"/>
    <col min="18" max="18" width="26.6640625" style="176" bestFit="1" customWidth="1"/>
    <col min="19" max="19" width="34.6640625" style="204" bestFit="1" customWidth="1"/>
    <col min="20" max="20" width="22.6640625" style="176" bestFit="1" customWidth="1"/>
    <col min="21" max="21" width="14.33203125" style="176" bestFit="1" customWidth="1"/>
    <col min="22" max="22" width="18.6640625" style="176" bestFit="1" customWidth="1"/>
    <col min="23" max="23" width="12.5" style="176" bestFit="1" customWidth="1"/>
    <col min="24" max="24" width="12.1640625" style="176" bestFit="1" customWidth="1"/>
    <col min="25" max="25" width="19.5" style="176" bestFit="1" customWidth="1"/>
    <col min="26" max="26" width="16.1640625" style="176" bestFit="1" customWidth="1"/>
    <col min="27" max="27" width="8.33203125" style="175" bestFit="1" customWidth="1"/>
    <col min="28" max="37" width="7.83203125" style="178" bestFit="1" customWidth="1"/>
    <col min="38" max="48" width="7.83203125" style="178" customWidth="1"/>
    <col min="49" max="50" width="125.6640625" style="176" customWidth="1"/>
    <col min="51" max="51" width="78.5" style="176" customWidth="1"/>
    <col min="52" max="16384" width="7.83203125" style="176"/>
  </cols>
  <sheetData>
    <row r="1" spans="1:51" x14ac:dyDescent="0.2">
      <c r="AA1" s="218" t="s">
        <v>221</v>
      </c>
      <c r="AB1" s="219"/>
      <c r="AC1" s="219"/>
      <c r="AD1" s="219"/>
      <c r="AE1" s="219"/>
      <c r="AF1" s="219"/>
      <c r="AG1" s="219"/>
      <c r="AH1" s="219"/>
      <c r="AI1" s="219"/>
      <c r="AJ1" s="219"/>
      <c r="AK1" s="219"/>
      <c r="AL1" s="220"/>
      <c r="AM1" s="220"/>
      <c r="AN1" s="220"/>
      <c r="AO1" s="220"/>
      <c r="AP1" s="220"/>
      <c r="AQ1" s="220"/>
      <c r="AR1" s="220"/>
      <c r="AS1" s="220"/>
      <c r="AT1" s="220"/>
      <c r="AU1" s="220"/>
      <c r="AV1" s="220"/>
    </row>
    <row r="2" spans="1:51" s="180" customFormat="1" ht="15.5" customHeight="1" x14ac:dyDescent="0.2">
      <c r="A2" s="179" t="s">
        <v>222</v>
      </c>
      <c r="B2" s="179" t="s">
        <v>223</v>
      </c>
      <c r="C2" s="179"/>
      <c r="D2" s="180" t="s">
        <v>224</v>
      </c>
      <c r="E2" s="181" t="s">
        <v>225</v>
      </c>
      <c r="F2" s="181" t="s">
        <v>226</v>
      </c>
      <c r="G2" s="180" t="s">
        <v>227</v>
      </c>
      <c r="H2" s="180" t="s">
        <v>228</v>
      </c>
      <c r="I2" s="180" t="s">
        <v>229</v>
      </c>
      <c r="J2" s="180" t="s">
        <v>230</v>
      </c>
      <c r="K2" s="180" t="s">
        <v>231</v>
      </c>
      <c r="L2" s="180" t="s">
        <v>232</v>
      </c>
      <c r="M2" s="180" t="s">
        <v>233</v>
      </c>
      <c r="N2" s="180" t="s">
        <v>234</v>
      </c>
      <c r="O2" s="180" t="s">
        <v>235</v>
      </c>
      <c r="P2" s="180" t="s">
        <v>236</v>
      </c>
      <c r="Q2" s="180" t="s">
        <v>237</v>
      </c>
      <c r="R2" s="180" t="s">
        <v>238</v>
      </c>
      <c r="S2" s="180" t="s">
        <v>239</v>
      </c>
      <c r="T2" s="180" t="s">
        <v>240</v>
      </c>
      <c r="U2" s="180" t="s">
        <v>241</v>
      </c>
      <c r="V2" s="180" t="s">
        <v>242</v>
      </c>
      <c r="W2" s="180" t="s">
        <v>243</v>
      </c>
      <c r="X2" s="180" t="s">
        <v>244</v>
      </c>
      <c r="Y2" s="180" t="s">
        <v>245</v>
      </c>
      <c r="Z2" s="180" t="s">
        <v>246</v>
      </c>
      <c r="AA2" s="179">
        <v>770</v>
      </c>
      <c r="AB2" s="182">
        <v>771</v>
      </c>
      <c r="AC2" s="182">
        <v>772</v>
      </c>
      <c r="AD2" s="182">
        <v>773</v>
      </c>
      <c r="AE2" s="182">
        <v>774</v>
      </c>
      <c r="AF2" s="182">
        <v>775</v>
      </c>
      <c r="AG2" s="182">
        <v>776</v>
      </c>
      <c r="AH2" s="182">
        <v>777</v>
      </c>
      <c r="AI2" s="182">
        <v>778</v>
      </c>
      <c r="AJ2" s="182">
        <v>779</v>
      </c>
      <c r="AK2" s="182">
        <v>780</v>
      </c>
      <c r="AL2" s="182">
        <v>990</v>
      </c>
      <c r="AM2" s="182">
        <v>991</v>
      </c>
      <c r="AN2" s="182">
        <v>992</v>
      </c>
      <c r="AO2" s="182">
        <v>993</v>
      </c>
      <c r="AP2" s="182">
        <v>994</v>
      </c>
      <c r="AQ2" s="182">
        <v>995</v>
      </c>
      <c r="AR2" s="182">
        <v>996</v>
      </c>
      <c r="AS2" s="182">
        <v>997</v>
      </c>
      <c r="AT2" s="182">
        <v>998</v>
      </c>
      <c r="AU2" s="182">
        <v>999</v>
      </c>
      <c r="AV2" s="182">
        <v>1000</v>
      </c>
      <c r="AW2" s="180" t="s">
        <v>247</v>
      </c>
      <c r="AX2" s="180" t="s">
        <v>248</v>
      </c>
      <c r="AY2" s="180" t="s">
        <v>249</v>
      </c>
    </row>
    <row r="3" spans="1:51" ht="15.5" customHeight="1" x14ac:dyDescent="0.2">
      <c r="A3" s="175" t="s">
        <v>13</v>
      </c>
      <c r="B3" s="175">
        <v>775</v>
      </c>
      <c r="D3" s="183" t="s">
        <v>250</v>
      </c>
      <c r="E3" s="183" t="s">
        <v>251</v>
      </c>
      <c r="F3" s="183" t="s">
        <v>252</v>
      </c>
      <c r="G3" s="205" t="s">
        <v>253</v>
      </c>
      <c r="H3" s="183" t="s">
        <v>254</v>
      </c>
      <c r="I3" s="184" t="s">
        <v>255</v>
      </c>
      <c r="J3" s="185" t="s">
        <v>256</v>
      </c>
      <c r="K3" s="184" t="s">
        <v>152</v>
      </c>
      <c r="L3" s="184" t="s">
        <v>153</v>
      </c>
      <c r="M3" s="184" t="s">
        <v>257</v>
      </c>
      <c r="N3" s="184">
        <v>1900</v>
      </c>
      <c r="O3" s="184" t="s">
        <v>258</v>
      </c>
      <c r="P3" s="186" t="s">
        <v>259</v>
      </c>
      <c r="Q3" s="186" t="s">
        <v>260</v>
      </c>
      <c r="R3" s="176" t="s">
        <v>261</v>
      </c>
      <c r="T3" s="184">
        <f>X3-W3+1</f>
        <v>576</v>
      </c>
      <c r="U3" s="184"/>
      <c r="V3" s="184">
        <v>0</v>
      </c>
      <c r="W3" s="201">
        <v>617</v>
      </c>
      <c r="X3" s="201">
        <v>1192</v>
      </c>
      <c r="Y3" s="187" t="s">
        <v>106</v>
      </c>
      <c r="Z3" s="184" t="s">
        <v>262</v>
      </c>
      <c r="AA3" s="188">
        <v>75</v>
      </c>
      <c r="AB3" s="178">
        <v>72</v>
      </c>
      <c r="AC3" s="178">
        <v>96</v>
      </c>
      <c r="AD3" s="178">
        <v>77</v>
      </c>
      <c r="AE3" s="178">
        <v>87</v>
      </c>
      <c r="AF3" s="178">
        <v>80</v>
      </c>
      <c r="AG3" s="178">
        <v>70</v>
      </c>
      <c r="AH3" s="178">
        <v>90</v>
      </c>
      <c r="AI3" s="178">
        <v>78</v>
      </c>
      <c r="AJ3" s="178">
        <v>82</v>
      </c>
      <c r="AK3" s="178">
        <v>75</v>
      </c>
      <c r="AL3" s="178" t="s">
        <v>263</v>
      </c>
      <c r="AM3" s="178" t="s">
        <v>263</v>
      </c>
      <c r="AN3" s="178" t="s">
        <v>263</v>
      </c>
      <c r="AO3" s="178" t="s">
        <v>263</v>
      </c>
      <c r="AP3" s="178" t="s">
        <v>263</v>
      </c>
      <c r="AQ3" s="178" t="s">
        <v>263</v>
      </c>
      <c r="AR3" s="178" t="s">
        <v>263</v>
      </c>
      <c r="AS3" s="178" t="s">
        <v>263</v>
      </c>
      <c r="AT3" s="178" t="s">
        <v>263</v>
      </c>
      <c r="AU3" s="178" t="s">
        <v>263</v>
      </c>
      <c r="AV3" s="178" t="s">
        <v>263</v>
      </c>
      <c r="AW3" s="176" t="s">
        <v>264</v>
      </c>
      <c r="AX3" s="184" t="s">
        <v>263</v>
      </c>
      <c r="AY3" s="206" t="s">
        <v>265</v>
      </c>
    </row>
    <row r="4" spans="1:51" ht="15.5" customHeight="1" x14ac:dyDescent="0.2">
      <c r="A4" s="175" t="s">
        <v>24</v>
      </c>
      <c r="B4" s="175">
        <v>775</v>
      </c>
      <c r="D4" s="189" t="s">
        <v>266</v>
      </c>
      <c r="E4" s="189" t="s">
        <v>267</v>
      </c>
      <c r="F4" s="189" t="s">
        <v>268</v>
      </c>
      <c r="G4" s="189" t="s">
        <v>269</v>
      </c>
      <c r="H4" s="189" t="s">
        <v>270</v>
      </c>
      <c r="I4" s="189" t="s">
        <v>271</v>
      </c>
      <c r="J4" s="189" t="s">
        <v>272</v>
      </c>
      <c r="K4" s="189" t="s">
        <v>164</v>
      </c>
      <c r="L4" s="189" t="s">
        <v>165</v>
      </c>
      <c r="M4" s="189" t="s">
        <v>273</v>
      </c>
      <c r="N4" s="189">
        <v>2300</v>
      </c>
      <c r="P4" s="190" t="s">
        <v>274</v>
      </c>
      <c r="Q4" s="190" t="s">
        <v>275</v>
      </c>
      <c r="R4" s="176" t="s">
        <v>276</v>
      </c>
      <c r="S4" s="176" t="s">
        <v>277</v>
      </c>
      <c r="W4" s="189"/>
      <c r="Y4" s="187" t="s">
        <v>106</v>
      </c>
      <c r="Z4" s="176" t="s">
        <v>278</v>
      </c>
      <c r="AA4" s="178" t="s">
        <v>263</v>
      </c>
      <c r="AB4" s="178" t="s">
        <v>263</v>
      </c>
      <c r="AC4" s="178" t="s">
        <v>263</v>
      </c>
      <c r="AD4" s="178" t="s">
        <v>263</v>
      </c>
      <c r="AE4" s="178" t="s">
        <v>263</v>
      </c>
      <c r="AF4" s="178" t="s">
        <v>263</v>
      </c>
      <c r="AG4" s="178" t="s">
        <v>263</v>
      </c>
      <c r="AH4" s="178" t="s">
        <v>263</v>
      </c>
      <c r="AI4" s="178" t="s">
        <v>263</v>
      </c>
      <c r="AJ4" s="178" t="s">
        <v>263</v>
      </c>
      <c r="AK4" s="178" t="s">
        <v>263</v>
      </c>
      <c r="AL4" s="178" t="s">
        <v>263</v>
      </c>
      <c r="AM4" s="178" t="s">
        <v>263</v>
      </c>
      <c r="AN4" s="178" t="s">
        <v>263</v>
      </c>
      <c r="AO4" s="178" t="s">
        <v>263</v>
      </c>
      <c r="AP4" s="178" t="s">
        <v>263</v>
      </c>
      <c r="AQ4" s="178" t="s">
        <v>263</v>
      </c>
      <c r="AR4" s="178" t="s">
        <v>263</v>
      </c>
      <c r="AS4" s="178" t="s">
        <v>263</v>
      </c>
      <c r="AT4" s="178" t="s">
        <v>263</v>
      </c>
      <c r="AU4" s="178" t="s">
        <v>263</v>
      </c>
      <c r="AV4" s="178" t="s">
        <v>263</v>
      </c>
      <c r="AW4" s="176" t="s">
        <v>279</v>
      </c>
      <c r="AX4" s="176" t="s">
        <v>280</v>
      </c>
      <c r="AY4" s="189" t="s">
        <v>281</v>
      </c>
    </row>
    <row r="5" spans="1:51" ht="15.5" customHeight="1" x14ac:dyDescent="0.2">
      <c r="A5" s="175" t="s">
        <v>39</v>
      </c>
      <c r="B5" s="175">
        <v>775</v>
      </c>
      <c r="D5" s="176" t="s">
        <v>282</v>
      </c>
      <c r="E5" s="176" t="s">
        <v>283</v>
      </c>
      <c r="F5" s="176" t="s">
        <v>284</v>
      </c>
      <c r="G5" s="176" t="s">
        <v>285</v>
      </c>
      <c r="H5" s="176" t="s">
        <v>286</v>
      </c>
      <c r="I5" s="176" t="s">
        <v>255</v>
      </c>
      <c r="J5" s="176" t="s">
        <v>287</v>
      </c>
      <c r="K5" s="176" t="s">
        <v>172</v>
      </c>
      <c r="L5" s="176" t="s">
        <v>173</v>
      </c>
      <c r="M5" s="176" t="s">
        <v>288</v>
      </c>
      <c r="N5" s="176">
        <v>2170</v>
      </c>
      <c r="O5" s="176" t="s">
        <v>263</v>
      </c>
      <c r="P5" s="177" t="s">
        <v>259</v>
      </c>
      <c r="Q5" s="177" t="s">
        <v>289</v>
      </c>
      <c r="R5" s="191"/>
      <c r="U5" s="176">
        <v>199</v>
      </c>
      <c r="W5" s="176">
        <v>756</v>
      </c>
      <c r="X5" s="176">
        <v>954</v>
      </c>
      <c r="Y5" s="187" t="s">
        <v>106</v>
      </c>
      <c r="Z5" s="176" t="s">
        <v>278</v>
      </c>
      <c r="AA5" s="178">
        <v>1664</v>
      </c>
      <c r="AB5" s="207">
        <v>1297</v>
      </c>
      <c r="AC5" s="207">
        <v>1216</v>
      </c>
      <c r="AD5" s="207">
        <v>939</v>
      </c>
      <c r="AE5" s="207">
        <v>645</v>
      </c>
      <c r="AF5" s="207">
        <v>394</v>
      </c>
      <c r="AG5" s="207">
        <v>272</v>
      </c>
      <c r="AH5" s="207">
        <v>390</v>
      </c>
      <c r="AI5" s="207">
        <v>592</v>
      </c>
      <c r="AJ5" s="207">
        <v>709</v>
      </c>
      <c r="AK5" s="207">
        <v>667</v>
      </c>
      <c r="AL5" s="207" t="s">
        <v>263</v>
      </c>
      <c r="AM5" s="207" t="s">
        <v>263</v>
      </c>
      <c r="AN5" s="207" t="s">
        <v>263</v>
      </c>
      <c r="AO5" s="207" t="s">
        <v>263</v>
      </c>
      <c r="AP5" s="207" t="s">
        <v>263</v>
      </c>
      <c r="AQ5" s="207" t="s">
        <v>263</v>
      </c>
      <c r="AR5" s="207" t="s">
        <v>263</v>
      </c>
      <c r="AS5" s="207" t="s">
        <v>263</v>
      </c>
      <c r="AT5" s="207" t="s">
        <v>263</v>
      </c>
      <c r="AU5" s="207" t="s">
        <v>263</v>
      </c>
      <c r="AV5" s="207" t="s">
        <v>263</v>
      </c>
      <c r="AW5" s="176" t="s">
        <v>263</v>
      </c>
      <c r="AX5" s="185" t="s">
        <v>290</v>
      </c>
      <c r="AY5" s="201" t="s">
        <v>291</v>
      </c>
    </row>
    <row r="6" spans="1:51" ht="15.5" customHeight="1" x14ac:dyDescent="0.2">
      <c r="A6" s="175" t="s">
        <v>15</v>
      </c>
      <c r="B6" s="175">
        <v>775</v>
      </c>
      <c r="D6" s="189" t="s">
        <v>292</v>
      </c>
      <c r="E6" s="189" t="s">
        <v>293</v>
      </c>
      <c r="F6" s="189" t="s">
        <v>294</v>
      </c>
      <c r="G6" s="189" t="s">
        <v>295</v>
      </c>
      <c r="H6" s="189" t="s">
        <v>296</v>
      </c>
      <c r="I6" s="189" t="s">
        <v>255</v>
      </c>
      <c r="J6" s="189" t="s">
        <v>297</v>
      </c>
      <c r="K6" s="189" t="s">
        <v>166</v>
      </c>
      <c r="L6" s="189" t="s">
        <v>298</v>
      </c>
      <c r="M6" s="189" t="s">
        <v>299</v>
      </c>
      <c r="N6" s="189">
        <v>537</v>
      </c>
      <c r="P6" s="190" t="s">
        <v>300</v>
      </c>
      <c r="Q6" s="190" t="s">
        <v>301</v>
      </c>
      <c r="R6" s="189" t="s">
        <v>302</v>
      </c>
      <c r="U6" s="189" t="s">
        <v>303</v>
      </c>
      <c r="V6" s="189"/>
      <c r="W6" s="189">
        <v>687</v>
      </c>
      <c r="X6" s="189">
        <v>847</v>
      </c>
      <c r="Y6" s="187" t="s">
        <v>106</v>
      </c>
      <c r="Z6" s="176" t="s">
        <v>278</v>
      </c>
      <c r="AA6" s="178">
        <v>46.5</v>
      </c>
      <c r="AB6" s="178">
        <v>58.5</v>
      </c>
      <c r="AC6" s="178">
        <v>48.5</v>
      </c>
      <c r="AD6" s="178">
        <v>55.5</v>
      </c>
      <c r="AE6" s="178">
        <v>64</v>
      </c>
      <c r="AF6" s="178">
        <v>59.5</v>
      </c>
      <c r="AG6" s="178">
        <v>61</v>
      </c>
      <c r="AH6" s="178">
        <v>50</v>
      </c>
      <c r="AI6" s="178">
        <v>47</v>
      </c>
      <c r="AJ6" s="178">
        <v>49.5</v>
      </c>
      <c r="AK6" s="178">
        <v>57</v>
      </c>
      <c r="AL6" s="178" t="s">
        <v>263</v>
      </c>
      <c r="AM6" s="178" t="s">
        <v>263</v>
      </c>
      <c r="AN6" s="178" t="s">
        <v>263</v>
      </c>
      <c r="AO6" s="178" t="s">
        <v>263</v>
      </c>
      <c r="AP6" s="178" t="s">
        <v>263</v>
      </c>
      <c r="AQ6" s="178" t="s">
        <v>263</v>
      </c>
      <c r="AR6" s="178" t="s">
        <v>263</v>
      </c>
      <c r="AS6" s="178" t="s">
        <v>263</v>
      </c>
      <c r="AT6" s="178" t="s">
        <v>263</v>
      </c>
      <c r="AU6" s="178" t="s">
        <v>263</v>
      </c>
      <c r="AV6" s="178" t="s">
        <v>263</v>
      </c>
      <c r="AW6" s="189" t="s">
        <v>263</v>
      </c>
      <c r="AX6" s="176" t="s">
        <v>304</v>
      </c>
      <c r="AY6" s="201" t="s">
        <v>305</v>
      </c>
    </row>
    <row r="7" spans="1:51" ht="15.5" customHeight="1" x14ac:dyDescent="0.2">
      <c r="A7" s="175" t="s">
        <v>9</v>
      </c>
      <c r="B7" s="175">
        <v>775</v>
      </c>
      <c r="D7" s="176" t="s">
        <v>306</v>
      </c>
      <c r="E7" s="176" t="s">
        <v>307</v>
      </c>
      <c r="F7" s="176" t="s">
        <v>308</v>
      </c>
      <c r="G7" s="176" t="s">
        <v>309</v>
      </c>
      <c r="H7" s="176" t="s">
        <v>310</v>
      </c>
      <c r="I7" s="176" t="s">
        <v>255</v>
      </c>
      <c r="J7" s="176" t="s">
        <v>311</v>
      </c>
      <c r="K7" s="176" t="s">
        <v>144</v>
      </c>
      <c r="L7" s="176" t="s">
        <v>145</v>
      </c>
      <c r="M7" s="176" t="s">
        <v>312</v>
      </c>
      <c r="N7" s="176">
        <v>4019</v>
      </c>
      <c r="O7" s="176" t="s">
        <v>313</v>
      </c>
      <c r="P7" s="177" t="s">
        <v>314</v>
      </c>
      <c r="Q7" s="177" t="s">
        <v>315</v>
      </c>
      <c r="R7" s="208" t="s">
        <v>316</v>
      </c>
      <c r="S7" s="204" t="s">
        <v>317</v>
      </c>
      <c r="T7" s="176">
        <v>1472</v>
      </c>
      <c r="U7" s="176">
        <v>1472</v>
      </c>
      <c r="W7" s="176">
        <v>-173</v>
      </c>
      <c r="X7" s="176">
        <v>1298</v>
      </c>
      <c r="Y7" s="176" t="s">
        <v>107</v>
      </c>
      <c r="Z7" s="176" t="s">
        <v>278</v>
      </c>
      <c r="AA7" s="178">
        <v>42</v>
      </c>
      <c r="AB7" s="178">
        <v>47</v>
      </c>
      <c r="AC7" s="178">
        <v>32</v>
      </c>
      <c r="AD7" s="178">
        <v>50</v>
      </c>
      <c r="AE7" s="178">
        <v>52</v>
      </c>
      <c r="AF7" s="178">
        <v>48</v>
      </c>
      <c r="AG7" s="178">
        <v>48</v>
      </c>
      <c r="AH7" s="178">
        <v>44</v>
      </c>
      <c r="AI7" s="178">
        <v>22</v>
      </c>
      <c r="AJ7" s="178">
        <v>39</v>
      </c>
      <c r="AK7" s="178">
        <v>46</v>
      </c>
      <c r="AL7" s="178" t="s">
        <v>263</v>
      </c>
      <c r="AM7" s="178" t="s">
        <v>263</v>
      </c>
      <c r="AN7" s="178" t="s">
        <v>263</v>
      </c>
      <c r="AO7" s="178" t="s">
        <v>263</v>
      </c>
      <c r="AP7" s="178" t="s">
        <v>263</v>
      </c>
      <c r="AQ7" s="178" t="s">
        <v>263</v>
      </c>
      <c r="AR7" s="178" t="s">
        <v>263</v>
      </c>
      <c r="AS7" s="178" t="s">
        <v>263</v>
      </c>
      <c r="AT7" s="178" t="s">
        <v>263</v>
      </c>
      <c r="AU7" s="178" t="s">
        <v>263</v>
      </c>
      <c r="AV7" s="178" t="s">
        <v>263</v>
      </c>
      <c r="AW7" s="208" t="s">
        <v>318</v>
      </c>
      <c r="AX7" s="176" t="s">
        <v>319</v>
      </c>
      <c r="AY7" s="209" t="s">
        <v>320</v>
      </c>
    </row>
    <row r="8" spans="1:51" ht="15.5" customHeight="1" x14ac:dyDescent="0.2">
      <c r="A8" s="175" t="s">
        <v>5</v>
      </c>
      <c r="B8" s="175">
        <v>775</v>
      </c>
      <c r="D8" s="189" t="s">
        <v>321</v>
      </c>
      <c r="E8" s="189" t="s">
        <v>322</v>
      </c>
      <c r="F8" s="176" t="s">
        <v>323</v>
      </c>
      <c r="G8" s="189" t="s">
        <v>324</v>
      </c>
      <c r="H8" s="189" t="s">
        <v>325</v>
      </c>
      <c r="I8" s="189" t="s">
        <v>255</v>
      </c>
      <c r="J8" s="189" t="s">
        <v>326</v>
      </c>
      <c r="K8" s="189" t="s">
        <v>134</v>
      </c>
      <c r="L8" s="189" t="s">
        <v>135</v>
      </c>
      <c r="M8" s="201"/>
      <c r="N8" s="189">
        <v>40</v>
      </c>
      <c r="P8" s="190" t="s">
        <v>327</v>
      </c>
      <c r="Q8" s="190" t="s">
        <v>328</v>
      </c>
      <c r="R8" s="176" t="s">
        <v>329</v>
      </c>
      <c r="U8" s="176">
        <v>517</v>
      </c>
      <c r="W8" s="189">
        <v>612</v>
      </c>
      <c r="X8" s="176">
        <v>1100</v>
      </c>
      <c r="Y8" s="199" t="s">
        <v>108</v>
      </c>
      <c r="Z8" s="176" t="s">
        <v>262</v>
      </c>
      <c r="AA8" s="178">
        <v>46</v>
      </c>
      <c r="AB8" s="178">
        <v>31</v>
      </c>
      <c r="AC8" s="178">
        <v>76</v>
      </c>
      <c r="AD8" s="178">
        <v>111</v>
      </c>
      <c r="AE8" s="178">
        <v>97</v>
      </c>
      <c r="AF8" s="178">
        <v>106</v>
      </c>
      <c r="AG8" s="178">
        <v>104</v>
      </c>
      <c r="AH8" s="178">
        <v>100</v>
      </c>
      <c r="AI8" s="178">
        <v>57</v>
      </c>
      <c r="AJ8" s="178">
        <v>100</v>
      </c>
      <c r="AK8" s="178">
        <v>100</v>
      </c>
      <c r="AL8" s="178" t="s">
        <v>263</v>
      </c>
      <c r="AM8" s="178" t="s">
        <v>263</v>
      </c>
      <c r="AN8" s="178" t="s">
        <v>263</v>
      </c>
      <c r="AO8" s="178" t="s">
        <v>263</v>
      </c>
      <c r="AP8" s="178" t="s">
        <v>263</v>
      </c>
      <c r="AQ8" s="178" t="s">
        <v>263</v>
      </c>
      <c r="AR8" s="178" t="s">
        <v>263</v>
      </c>
      <c r="AS8" s="178" t="s">
        <v>263</v>
      </c>
      <c r="AT8" s="178" t="s">
        <v>263</v>
      </c>
      <c r="AU8" s="178" t="s">
        <v>263</v>
      </c>
      <c r="AV8" s="178" t="s">
        <v>263</v>
      </c>
      <c r="AW8" s="176" t="s">
        <v>330</v>
      </c>
      <c r="AX8" s="176" t="s">
        <v>331</v>
      </c>
      <c r="AY8" s="189" t="s">
        <v>263</v>
      </c>
    </row>
    <row r="9" spans="1:51" ht="15.5" customHeight="1" x14ac:dyDescent="0.2">
      <c r="A9" s="175" t="s">
        <v>4</v>
      </c>
      <c r="B9" s="175">
        <v>775</v>
      </c>
      <c r="C9" s="176" t="s">
        <v>332</v>
      </c>
      <c r="D9" s="189" t="s">
        <v>321</v>
      </c>
      <c r="E9" s="189" t="s">
        <v>322</v>
      </c>
      <c r="F9" s="176" t="s">
        <v>333</v>
      </c>
      <c r="G9" s="189" t="s">
        <v>334</v>
      </c>
      <c r="H9" s="189" t="s">
        <v>325</v>
      </c>
      <c r="I9" s="189" t="s">
        <v>255</v>
      </c>
      <c r="J9" s="189" t="s">
        <v>326</v>
      </c>
      <c r="K9" s="189" t="s">
        <v>134</v>
      </c>
      <c r="L9" s="189" t="s">
        <v>135</v>
      </c>
      <c r="M9" s="189" t="s">
        <v>273</v>
      </c>
      <c r="N9" s="189">
        <v>40</v>
      </c>
      <c r="P9" s="190" t="s">
        <v>327</v>
      </c>
      <c r="Q9" s="190" t="s">
        <v>328</v>
      </c>
      <c r="R9" s="176" t="s">
        <v>329</v>
      </c>
      <c r="W9" s="189"/>
      <c r="Y9" s="199" t="s">
        <v>108</v>
      </c>
      <c r="Z9" s="176" t="s">
        <v>262</v>
      </c>
      <c r="AA9" s="178">
        <v>52</v>
      </c>
      <c r="AB9" s="178">
        <v>56</v>
      </c>
      <c r="AC9" s="178">
        <v>87</v>
      </c>
      <c r="AD9" s="178">
        <v>71</v>
      </c>
      <c r="AE9" s="178">
        <v>59</v>
      </c>
      <c r="AF9" s="178">
        <v>67</v>
      </c>
      <c r="AG9" s="178">
        <v>60</v>
      </c>
      <c r="AH9" s="178">
        <v>49</v>
      </c>
      <c r="AI9" s="178">
        <v>37</v>
      </c>
      <c r="AJ9" s="178">
        <v>53</v>
      </c>
      <c r="AK9" s="178">
        <v>58</v>
      </c>
      <c r="AL9" s="178" t="s">
        <v>263</v>
      </c>
      <c r="AM9" s="178" t="s">
        <v>263</v>
      </c>
      <c r="AN9" s="178" t="s">
        <v>263</v>
      </c>
      <c r="AO9" s="178" t="s">
        <v>263</v>
      </c>
      <c r="AP9" s="178" t="s">
        <v>263</v>
      </c>
      <c r="AQ9" s="178" t="s">
        <v>263</v>
      </c>
      <c r="AR9" s="178" t="s">
        <v>263</v>
      </c>
      <c r="AS9" s="178" t="s">
        <v>263</v>
      </c>
      <c r="AT9" s="178" t="s">
        <v>263</v>
      </c>
      <c r="AU9" s="178" t="s">
        <v>263</v>
      </c>
      <c r="AV9" s="178" t="s">
        <v>263</v>
      </c>
      <c r="AW9" s="176" t="s">
        <v>335</v>
      </c>
      <c r="AX9" s="176" t="s">
        <v>336</v>
      </c>
      <c r="AY9" s="189" t="s">
        <v>337</v>
      </c>
    </row>
    <row r="10" spans="1:51" s="194" customFormat="1" ht="16" customHeight="1" x14ac:dyDescent="0.2">
      <c r="A10" s="192" t="s">
        <v>338</v>
      </c>
      <c r="B10" s="192">
        <v>775</v>
      </c>
      <c r="C10" s="192"/>
      <c r="D10" s="193" t="s">
        <v>321</v>
      </c>
      <c r="E10" s="193" t="s">
        <v>322</v>
      </c>
      <c r="F10" s="194" t="s">
        <v>339</v>
      </c>
      <c r="G10" s="193" t="s">
        <v>340</v>
      </c>
      <c r="H10" s="193" t="s">
        <v>325</v>
      </c>
      <c r="I10" s="193" t="s">
        <v>255</v>
      </c>
      <c r="J10" s="193" t="s">
        <v>326</v>
      </c>
      <c r="K10" s="193" t="s">
        <v>134</v>
      </c>
      <c r="L10" s="193" t="s">
        <v>135</v>
      </c>
      <c r="M10" s="193" t="s">
        <v>273</v>
      </c>
      <c r="N10" s="193">
        <v>40</v>
      </c>
      <c r="P10" s="195" t="s">
        <v>327</v>
      </c>
      <c r="Q10" s="195" t="s">
        <v>328</v>
      </c>
      <c r="R10" s="194" t="s">
        <v>329</v>
      </c>
      <c r="S10" s="210"/>
      <c r="W10" s="193">
        <v>695</v>
      </c>
      <c r="X10" s="194">
        <v>809</v>
      </c>
      <c r="Y10" s="210" t="s">
        <v>108</v>
      </c>
      <c r="Z10" s="194" t="s">
        <v>262</v>
      </c>
      <c r="AA10" s="196">
        <v>67</v>
      </c>
      <c r="AB10" s="196">
        <v>47</v>
      </c>
      <c r="AC10" s="196">
        <v>36</v>
      </c>
      <c r="AD10" s="196">
        <v>60</v>
      </c>
      <c r="AE10" s="196">
        <v>61</v>
      </c>
      <c r="AF10" s="196">
        <v>48</v>
      </c>
      <c r="AG10" s="196">
        <v>63</v>
      </c>
      <c r="AH10" s="196">
        <v>46</v>
      </c>
      <c r="AI10" s="196">
        <v>16</v>
      </c>
      <c r="AJ10" s="196">
        <v>51</v>
      </c>
      <c r="AK10" s="196">
        <v>40</v>
      </c>
      <c r="AL10" s="196" t="s">
        <v>263</v>
      </c>
      <c r="AM10" s="196" t="s">
        <v>263</v>
      </c>
      <c r="AN10" s="196" t="s">
        <v>263</v>
      </c>
      <c r="AO10" s="196" t="s">
        <v>263</v>
      </c>
      <c r="AP10" s="196" t="s">
        <v>263</v>
      </c>
      <c r="AQ10" s="196" t="s">
        <v>263</v>
      </c>
      <c r="AR10" s="196" t="s">
        <v>263</v>
      </c>
      <c r="AS10" s="196" t="s">
        <v>263</v>
      </c>
      <c r="AT10" s="196" t="s">
        <v>263</v>
      </c>
      <c r="AU10" s="196" t="s">
        <v>263</v>
      </c>
      <c r="AV10" s="196" t="s">
        <v>263</v>
      </c>
      <c r="AW10" s="194" t="s">
        <v>263</v>
      </c>
      <c r="AX10" s="194" t="s">
        <v>341</v>
      </c>
      <c r="AY10" s="193" t="s">
        <v>263</v>
      </c>
    </row>
    <row r="11" spans="1:51" ht="16" customHeight="1" x14ac:dyDescent="0.2">
      <c r="A11" s="175" t="s">
        <v>7</v>
      </c>
      <c r="B11" s="175">
        <v>775</v>
      </c>
      <c r="D11" s="189"/>
      <c r="E11" s="189"/>
      <c r="G11" s="189"/>
      <c r="H11" s="189"/>
      <c r="I11" s="189"/>
      <c r="J11" s="189"/>
      <c r="K11" s="189"/>
      <c r="L11" s="189"/>
      <c r="M11" s="189"/>
      <c r="N11" s="189"/>
      <c r="P11" s="190"/>
      <c r="Q11" s="190"/>
      <c r="W11" s="189"/>
      <c r="Y11" s="199"/>
      <c r="AA11" s="178"/>
      <c r="AY11" s="189"/>
    </row>
    <row r="12" spans="1:51" ht="16" customHeight="1" x14ac:dyDescent="0.2">
      <c r="A12" s="175" t="s">
        <v>109</v>
      </c>
      <c r="B12" s="175">
        <v>775</v>
      </c>
      <c r="D12" s="189"/>
      <c r="E12" s="189"/>
      <c r="G12" s="189"/>
      <c r="H12" s="189"/>
      <c r="I12" s="189"/>
      <c r="J12" s="189"/>
      <c r="K12" s="189"/>
      <c r="L12" s="189"/>
      <c r="M12" s="189"/>
      <c r="N12" s="189"/>
      <c r="P12" s="190"/>
      <c r="Q12" s="190"/>
      <c r="W12" s="189"/>
      <c r="Y12" s="199"/>
      <c r="AA12" s="178"/>
      <c r="AY12" s="189"/>
    </row>
    <row r="13" spans="1:51" ht="15.5" customHeight="1" x14ac:dyDescent="0.2">
      <c r="A13" s="197" t="s">
        <v>342</v>
      </c>
      <c r="B13" s="175">
        <v>775</v>
      </c>
      <c r="C13" s="197"/>
      <c r="D13" s="176" t="s">
        <v>282</v>
      </c>
      <c r="E13" s="189" t="s">
        <v>343</v>
      </c>
      <c r="F13" s="187"/>
      <c r="H13" s="176" t="s">
        <v>286</v>
      </c>
      <c r="J13" s="189"/>
      <c r="K13" s="176" t="s">
        <v>170</v>
      </c>
      <c r="L13" s="176" t="s">
        <v>171</v>
      </c>
      <c r="M13" s="201"/>
      <c r="N13" s="176">
        <v>2100</v>
      </c>
      <c r="O13" s="176" t="s">
        <v>344</v>
      </c>
      <c r="P13" s="177" t="s">
        <v>345</v>
      </c>
      <c r="Q13" s="177" t="s">
        <v>289</v>
      </c>
      <c r="R13" s="201"/>
      <c r="S13" s="204" t="s">
        <v>346</v>
      </c>
      <c r="Y13" s="187" t="s">
        <v>106</v>
      </c>
      <c r="Z13" s="176" t="s">
        <v>278</v>
      </c>
      <c r="AA13" s="178">
        <v>251.4</v>
      </c>
      <c r="AB13" s="178">
        <v>245.6</v>
      </c>
      <c r="AC13" s="178">
        <v>270.3</v>
      </c>
      <c r="AD13" s="178">
        <v>254.2</v>
      </c>
      <c r="AE13" s="178">
        <v>210.1</v>
      </c>
      <c r="AF13" s="178">
        <v>236.3</v>
      </c>
      <c r="AG13" s="178">
        <v>155</v>
      </c>
      <c r="AH13" s="178">
        <v>176.4</v>
      </c>
      <c r="AI13" s="178">
        <v>180.5</v>
      </c>
      <c r="AJ13" s="178">
        <v>165.6</v>
      </c>
      <c r="AK13" s="178">
        <v>143.30000000000001</v>
      </c>
      <c r="AL13" s="178" t="s">
        <v>263</v>
      </c>
      <c r="AM13" s="178" t="s">
        <v>263</v>
      </c>
      <c r="AN13" s="178" t="s">
        <v>263</v>
      </c>
      <c r="AO13" s="178" t="s">
        <v>263</v>
      </c>
      <c r="AP13" s="178" t="s">
        <v>263</v>
      </c>
      <c r="AQ13" s="178" t="s">
        <v>263</v>
      </c>
      <c r="AR13" s="178" t="s">
        <v>263</v>
      </c>
      <c r="AS13" s="178" t="s">
        <v>263</v>
      </c>
      <c r="AT13" s="178" t="s">
        <v>263</v>
      </c>
      <c r="AU13" s="178" t="s">
        <v>263</v>
      </c>
      <c r="AV13" s="178" t="s">
        <v>263</v>
      </c>
      <c r="AW13" s="211" t="s">
        <v>347</v>
      </c>
      <c r="AX13" s="176" t="s">
        <v>263</v>
      </c>
      <c r="AY13" s="176" t="s">
        <v>348</v>
      </c>
    </row>
    <row r="14" spans="1:51" ht="15.5" customHeight="1" x14ac:dyDescent="0.2">
      <c r="A14" s="175" t="s">
        <v>18</v>
      </c>
      <c r="B14" s="175">
        <v>775</v>
      </c>
      <c r="D14" s="189" t="s">
        <v>349</v>
      </c>
      <c r="E14" s="189" t="s">
        <v>350</v>
      </c>
      <c r="F14" s="176" t="s">
        <v>351</v>
      </c>
      <c r="G14" s="189" t="s">
        <v>352</v>
      </c>
      <c r="H14" s="189" t="s">
        <v>353</v>
      </c>
      <c r="I14" s="189" t="s">
        <v>255</v>
      </c>
      <c r="J14" s="189" t="s">
        <v>354</v>
      </c>
      <c r="K14" s="176" t="s">
        <v>162</v>
      </c>
      <c r="L14" s="176" t="s">
        <v>163</v>
      </c>
      <c r="N14" s="176">
        <v>320</v>
      </c>
      <c r="P14" s="190" t="s">
        <v>355</v>
      </c>
      <c r="Q14" s="190" t="s">
        <v>356</v>
      </c>
      <c r="R14" s="176" t="s">
        <v>357</v>
      </c>
      <c r="W14" s="189">
        <v>738</v>
      </c>
      <c r="X14" s="176">
        <v>817</v>
      </c>
      <c r="Y14" s="187" t="s">
        <v>106</v>
      </c>
      <c r="Z14" s="176" t="s">
        <v>262</v>
      </c>
      <c r="AA14" s="178">
        <v>209</v>
      </c>
      <c r="AB14" s="178">
        <v>254</v>
      </c>
      <c r="AC14" s="178">
        <v>261</v>
      </c>
      <c r="AD14" s="178">
        <v>324</v>
      </c>
      <c r="AE14" s="178">
        <v>310</v>
      </c>
      <c r="AF14" s="178">
        <v>345</v>
      </c>
      <c r="AG14" s="178">
        <v>292</v>
      </c>
      <c r="AH14" s="178">
        <v>265</v>
      </c>
      <c r="AI14" s="178">
        <v>211</v>
      </c>
      <c r="AJ14" s="178">
        <v>325</v>
      </c>
      <c r="AK14" s="178">
        <v>280</v>
      </c>
      <c r="AL14" s="178" t="s">
        <v>263</v>
      </c>
      <c r="AM14" s="178" t="s">
        <v>263</v>
      </c>
      <c r="AN14" s="178" t="s">
        <v>263</v>
      </c>
      <c r="AO14" s="178" t="s">
        <v>263</v>
      </c>
      <c r="AP14" s="178" t="s">
        <v>263</v>
      </c>
      <c r="AQ14" s="178" t="s">
        <v>263</v>
      </c>
      <c r="AR14" s="178" t="s">
        <v>263</v>
      </c>
      <c r="AS14" s="178" t="s">
        <v>263</v>
      </c>
      <c r="AT14" s="178" t="s">
        <v>263</v>
      </c>
      <c r="AU14" s="178" t="s">
        <v>263</v>
      </c>
      <c r="AV14" s="178" t="s">
        <v>263</v>
      </c>
      <c r="AW14" s="176" t="s">
        <v>263</v>
      </c>
      <c r="AX14" s="176" t="s">
        <v>358</v>
      </c>
      <c r="AY14" s="176" t="s">
        <v>263</v>
      </c>
    </row>
    <row r="15" spans="1:51" ht="15.5" customHeight="1" x14ac:dyDescent="0.2">
      <c r="A15" s="175" t="s">
        <v>20</v>
      </c>
      <c r="B15" s="175">
        <v>775</v>
      </c>
      <c r="D15" s="176" t="s">
        <v>359</v>
      </c>
      <c r="E15" s="176" t="s">
        <v>360</v>
      </c>
      <c r="F15" s="185" t="s">
        <v>361</v>
      </c>
      <c r="G15" s="176" t="s">
        <v>362</v>
      </c>
      <c r="H15" s="176" t="s">
        <v>363</v>
      </c>
      <c r="I15" s="176" t="s">
        <v>364</v>
      </c>
      <c r="J15" s="176" t="s">
        <v>365</v>
      </c>
      <c r="K15" s="185" t="s">
        <v>154</v>
      </c>
      <c r="L15" s="185" t="s">
        <v>155</v>
      </c>
      <c r="M15" s="185" t="s">
        <v>366</v>
      </c>
      <c r="N15" s="176">
        <v>2146</v>
      </c>
      <c r="O15" s="176" t="s">
        <v>367</v>
      </c>
      <c r="P15" s="177" t="s">
        <v>259</v>
      </c>
      <c r="Q15" s="177" t="s">
        <v>260</v>
      </c>
      <c r="R15" s="176" t="s">
        <v>368</v>
      </c>
      <c r="U15" s="185">
        <v>453</v>
      </c>
      <c r="W15" s="176">
        <v>744</v>
      </c>
      <c r="X15" s="176">
        <v>1196</v>
      </c>
      <c r="Y15" s="187" t="s">
        <v>106</v>
      </c>
      <c r="Z15" s="176" t="s">
        <v>262</v>
      </c>
      <c r="AA15" s="178">
        <v>174.6</v>
      </c>
      <c r="AB15" s="178">
        <v>103.8</v>
      </c>
      <c r="AC15" s="178">
        <v>140.5</v>
      </c>
      <c r="AD15" s="178">
        <v>144.1</v>
      </c>
      <c r="AE15" s="178">
        <v>145.69999999999999</v>
      </c>
      <c r="AF15" s="178">
        <v>135.6</v>
      </c>
      <c r="AG15" s="178">
        <v>138.6</v>
      </c>
      <c r="AH15" s="178">
        <v>143.80000000000001</v>
      </c>
      <c r="AI15" s="178">
        <v>108.1</v>
      </c>
      <c r="AJ15" s="178">
        <v>91.3</v>
      </c>
      <c r="AK15" s="178">
        <v>96.6</v>
      </c>
      <c r="AL15" s="178" t="s">
        <v>263</v>
      </c>
      <c r="AM15" s="178" t="s">
        <v>263</v>
      </c>
      <c r="AN15" s="178" t="s">
        <v>263</v>
      </c>
      <c r="AO15" s="178" t="s">
        <v>263</v>
      </c>
      <c r="AP15" s="178" t="s">
        <v>263</v>
      </c>
      <c r="AQ15" s="178" t="s">
        <v>263</v>
      </c>
      <c r="AR15" s="178" t="s">
        <v>263</v>
      </c>
      <c r="AS15" s="178" t="s">
        <v>263</v>
      </c>
      <c r="AT15" s="178" t="s">
        <v>263</v>
      </c>
      <c r="AU15" s="178" t="s">
        <v>263</v>
      </c>
      <c r="AV15" s="178" t="s">
        <v>263</v>
      </c>
      <c r="AW15" s="204" t="s">
        <v>369</v>
      </c>
      <c r="AX15" s="198" t="s">
        <v>370</v>
      </c>
      <c r="AY15" s="198" t="s">
        <v>263</v>
      </c>
    </row>
    <row r="16" spans="1:51" ht="15.5" customHeight="1" x14ac:dyDescent="0.2">
      <c r="A16" s="175" t="s">
        <v>19</v>
      </c>
      <c r="B16" s="175">
        <v>775</v>
      </c>
      <c r="D16" s="184" t="s">
        <v>371</v>
      </c>
      <c r="E16" s="184" t="s">
        <v>372</v>
      </c>
      <c r="F16" s="176" t="s">
        <v>373</v>
      </c>
      <c r="G16" s="184">
        <v>810</v>
      </c>
      <c r="H16" s="176" t="s">
        <v>374</v>
      </c>
      <c r="I16" s="176" t="s">
        <v>255</v>
      </c>
      <c r="J16" s="176" t="s">
        <v>375</v>
      </c>
      <c r="K16" s="176" t="s">
        <v>176</v>
      </c>
      <c r="L16" s="176" t="s">
        <v>177</v>
      </c>
      <c r="M16" s="176" t="s">
        <v>376</v>
      </c>
      <c r="N16" s="176">
        <v>1805</v>
      </c>
      <c r="O16" s="176" t="s">
        <v>344</v>
      </c>
      <c r="P16" s="177" t="s">
        <v>300</v>
      </c>
      <c r="Q16" s="177" t="s">
        <v>377</v>
      </c>
      <c r="S16" s="176" t="s">
        <v>378</v>
      </c>
      <c r="T16" s="200" t="s">
        <v>263</v>
      </c>
      <c r="U16" s="176">
        <v>223</v>
      </c>
      <c r="V16" s="176">
        <v>41</v>
      </c>
      <c r="W16" s="176">
        <v>735</v>
      </c>
      <c r="X16" s="176">
        <v>957</v>
      </c>
      <c r="Y16" s="187" t="s">
        <v>106</v>
      </c>
      <c r="Z16" s="176" t="s">
        <v>278</v>
      </c>
      <c r="AA16" s="178">
        <v>249</v>
      </c>
      <c r="AB16" s="207">
        <v>244</v>
      </c>
      <c r="AC16" s="207">
        <v>204</v>
      </c>
      <c r="AD16" s="207">
        <v>213</v>
      </c>
      <c r="AE16" s="207">
        <v>244</v>
      </c>
      <c r="AF16" s="207">
        <v>209</v>
      </c>
      <c r="AG16" s="207">
        <v>250</v>
      </c>
      <c r="AH16" s="207">
        <v>228</v>
      </c>
      <c r="AI16" s="207">
        <v>172</v>
      </c>
      <c r="AJ16" s="207">
        <v>237</v>
      </c>
      <c r="AK16" s="207">
        <v>201</v>
      </c>
      <c r="AL16" s="207" t="s">
        <v>263</v>
      </c>
      <c r="AM16" s="207" t="s">
        <v>263</v>
      </c>
      <c r="AN16" s="207" t="s">
        <v>263</v>
      </c>
      <c r="AO16" s="207" t="s">
        <v>263</v>
      </c>
      <c r="AP16" s="207" t="s">
        <v>263</v>
      </c>
      <c r="AQ16" s="207" t="s">
        <v>263</v>
      </c>
      <c r="AR16" s="207" t="s">
        <v>263</v>
      </c>
      <c r="AS16" s="207" t="s">
        <v>263</v>
      </c>
      <c r="AT16" s="207" t="s">
        <v>263</v>
      </c>
      <c r="AU16" s="207" t="s">
        <v>263</v>
      </c>
      <c r="AV16" s="207" t="s">
        <v>263</v>
      </c>
      <c r="AW16" s="189" t="s">
        <v>379</v>
      </c>
      <c r="AX16" s="176" t="s">
        <v>380</v>
      </c>
      <c r="AY16" s="176" t="s">
        <v>263</v>
      </c>
    </row>
    <row r="17" spans="1:51" ht="15.5" customHeight="1" x14ac:dyDescent="0.2">
      <c r="A17" s="175" t="s">
        <v>381</v>
      </c>
      <c r="B17" s="175">
        <v>775</v>
      </c>
      <c r="C17" s="176" t="s">
        <v>382</v>
      </c>
      <c r="D17" s="176" t="s">
        <v>383</v>
      </c>
      <c r="E17" s="189" t="s">
        <v>384</v>
      </c>
      <c r="F17" s="187" t="s">
        <v>385</v>
      </c>
      <c r="H17" s="176" t="s">
        <v>386</v>
      </c>
      <c r="I17" s="176" t="s">
        <v>255</v>
      </c>
      <c r="J17" s="189" t="s">
        <v>387</v>
      </c>
      <c r="K17" s="176" t="s">
        <v>202</v>
      </c>
      <c r="L17" s="176" t="s">
        <v>203</v>
      </c>
      <c r="M17" s="201"/>
      <c r="N17" s="176">
        <v>885</v>
      </c>
      <c r="P17" s="177" t="s">
        <v>388</v>
      </c>
      <c r="Q17" s="177" t="s">
        <v>389</v>
      </c>
      <c r="R17" s="201" t="s">
        <v>390</v>
      </c>
      <c r="W17" s="176">
        <v>676</v>
      </c>
      <c r="X17" s="176">
        <v>782</v>
      </c>
      <c r="Y17" s="176" t="s">
        <v>107</v>
      </c>
      <c r="Z17" s="176" t="s">
        <v>262</v>
      </c>
      <c r="AA17" s="178">
        <v>74.706509999999994</v>
      </c>
      <c r="AB17" s="178">
        <v>32.01708</v>
      </c>
      <c r="AC17" s="178">
        <v>5.3361789999999996</v>
      </c>
      <c r="AD17" s="178">
        <v>53.361789999999999</v>
      </c>
      <c r="AE17" s="178">
        <v>37.353259999999999</v>
      </c>
      <c r="AF17" s="207">
        <v>48.02561</v>
      </c>
      <c r="AG17" s="207">
        <v>53.361789999999999</v>
      </c>
      <c r="AH17" s="178">
        <v>42.689430000000002</v>
      </c>
      <c r="AI17" s="178">
        <v>53.361789999999999</v>
      </c>
      <c r="AJ17" s="178">
        <v>64.034149999999997</v>
      </c>
      <c r="AK17" s="178">
        <v>53.361789999999999</v>
      </c>
      <c r="AL17" s="178" t="s">
        <v>263</v>
      </c>
      <c r="AM17" s="178" t="s">
        <v>263</v>
      </c>
      <c r="AN17" s="178" t="s">
        <v>263</v>
      </c>
      <c r="AO17" s="178" t="s">
        <v>263</v>
      </c>
      <c r="AP17" s="178" t="s">
        <v>263</v>
      </c>
      <c r="AQ17" s="178" t="s">
        <v>263</v>
      </c>
      <c r="AR17" s="178" t="s">
        <v>263</v>
      </c>
      <c r="AS17" s="178" t="s">
        <v>263</v>
      </c>
      <c r="AT17" s="178" t="s">
        <v>263</v>
      </c>
      <c r="AU17" s="178" t="s">
        <v>263</v>
      </c>
      <c r="AV17" s="178" t="s">
        <v>263</v>
      </c>
      <c r="AW17" s="202" t="s">
        <v>263</v>
      </c>
      <c r="AX17" s="176" t="s">
        <v>263</v>
      </c>
      <c r="AY17" s="176" t="s">
        <v>263</v>
      </c>
    </row>
    <row r="18" spans="1:51" ht="15.5" customHeight="1" x14ac:dyDescent="0.2">
      <c r="A18" s="175" t="s">
        <v>21</v>
      </c>
      <c r="B18" s="175">
        <v>775</v>
      </c>
      <c r="D18" s="176" t="s">
        <v>391</v>
      </c>
      <c r="E18" s="212" t="s">
        <v>392</v>
      </c>
      <c r="F18" s="176" t="s">
        <v>393</v>
      </c>
      <c r="G18" s="176" t="s">
        <v>394</v>
      </c>
      <c r="H18" s="176" t="s">
        <v>395</v>
      </c>
      <c r="I18" s="176" t="s">
        <v>255</v>
      </c>
      <c r="J18" s="176" t="s">
        <v>396</v>
      </c>
      <c r="K18" s="176" t="s">
        <v>156</v>
      </c>
      <c r="L18" s="176" t="s">
        <v>157</v>
      </c>
      <c r="N18" s="176">
        <v>2100</v>
      </c>
      <c r="P18" s="177" t="s">
        <v>274</v>
      </c>
      <c r="Q18" s="177" t="s">
        <v>275</v>
      </c>
      <c r="R18" s="176" t="s">
        <v>397</v>
      </c>
      <c r="W18" s="176">
        <v>692</v>
      </c>
      <c r="X18" s="176">
        <v>883</v>
      </c>
      <c r="Y18" s="187" t="s">
        <v>106</v>
      </c>
      <c r="Z18" s="176" t="s">
        <v>278</v>
      </c>
      <c r="AA18" s="178">
        <v>16.5</v>
      </c>
      <c r="AB18" s="213">
        <v>27.1</v>
      </c>
      <c r="AC18" s="178">
        <v>66.400000000000006</v>
      </c>
      <c r="AD18" s="178">
        <v>26.5</v>
      </c>
      <c r="AE18" s="178">
        <v>31.9</v>
      </c>
      <c r="AF18" s="178">
        <v>52.7</v>
      </c>
      <c r="AG18" s="178">
        <v>53.7</v>
      </c>
      <c r="AH18" s="178">
        <v>29</v>
      </c>
      <c r="AI18" s="178">
        <v>50.6</v>
      </c>
      <c r="AJ18" s="178">
        <v>51.5</v>
      </c>
      <c r="AK18" s="178">
        <v>41.9</v>
      </c>
      <c r="AL18" s="178" t="s">
        <v>263</v>
      </c>
      <c r="AM18" s="178" t="s">
        <v>263</v>
      </c>
      <c r="AN18" s="178" t="s">
        <v>263</v>
      </c>
      <c r="AO18" s="178" t="s">
        <v>263</v>
      </c>
      <c r="AP18" s="178" t="s">
        <v>263</v>
      </c>
      <c r="AQ18" s="178" t="s">
        <v>263</v>
      </c>
      <c r="AR18" s="178" t="s">
        <v>263</v>
      </c>
      <c r="AS18" s="178" t="s">
        <v>263</v>
      </c>
      <c r="AT18" s="178" t="s">
        <v>263</v>
      </c>
      <c r="AU18" s="178" t="s">
        <v>263</v>
      </c>
      <c r="AV18" s="178" t="s">
        <v>263</v>
      </c>
      <c r="AW18" s="176" t="s">
        <v>263</v>
      </c>
      <c r="AX18" s="176" t="s">
        <v>398</v>
      </c>
      <c r="AY18" s="176" t="s">
        <v>263</v>
      </c>
    </row>
    <row r="19" spans="1:51" ht="15.5" customHeight="1" x14ac:dyDescent="0.2">
      <c r="A19" s="175" t="s">
        <v>22</v>
      </c>
      <c r="B19" s="175">
        <v>775</v>
      </c>
      <c r="D19" s="189" t="s">
        <v>391</v>
      </c>
      <c r="E19" s="176" t="s">
        <v>399</v>
      </c>
      <c r="F19" s="176" t="s">
        <v>400</v>
      </c>
      <c r="G19" s="189" t="s">
        <v>401</v>
      </c>
      <c r="H19" s="189" t="s">
        <v>402</v>
      </c>
      <c r="I19" s="189" t="s">
        <v>255</v>
      </c>
      <c r="J19" s="189" t="s">
        <v>403</v>
      </c>
      <c r="K19" s="189" t="s">
        <v>158</v>
      </c>
      <c r="L19" s="189" t="s">
        <v>159</v>
      </c>
      <c r="M19" s="189"/>
      <c r="N19" s="189">
        <v>2064</v>
      </c>
      <c r="O19" s="176" t="s">
        <v>404</v>
      </c>
      <c r="P19" s="190" t="s">
        <v>259</v>
      </c>
      <c r="Q19" s="190" t="s">
        <v>275</v>
      </c>
      <c r="R19" s="191"/>
      <c r="U19" s="189">
        <v>339</v>
      </c>
      <c r="V19" s="189"/>
      <c r="W19" s="189">
        <v>725</v>
      </c>
      <c r="X19" s="189">
        <v>1063</v>
      </c>
      <c r="Y19" s="187" t="s">
        <v>106</v>
      </c>
      <c r="Z19" s="176" t="s">
        <v>278</v>
      </c>
      <c r="AA19" s="178">
        <v>38.1</v>
      </c>
      <c r="AB19" s="178">
        <v>47.2</v>
      </c>
      <c r="AC19" s="178">
        <v>50.2</v>
      </c>
      <c r="AD19" s="178">
        <v>16.7</v>
      </c>
      <c r="AE19" s="178">
        <v>20.7</v>
      </c>
      <c r="AF19" s="178">
        <v>62.2</v>
      </c>
      <c r="AG19" s="178">
        <v>45.6</v>
      </c>
      <c r="AH19" s="178">
        <v>18.3</v>
      </c>
      <c r="AI19" s="178">
        <v>42.8</v>
      </c>
      <c r="AJ19" s="178">
        <v>38.6</v>
      </c>
      <c r="AK19" s="178">
        <v>40.799999999999997</v>
      </c>
      <c r="AL19" s="178" t="s">
        <v>263</v>
      </c>
      <c r="AM19" s="178" t="s">
        <v>263</v>
      </c>
      <c r="AN19" s="178" t="s">
        <v>263</v>
      </c>
      <c r="AO19" s="178" t="s">
        <v>263</v>
      </c>
      <c r="AP19" s="178" t="s">
        <v>263</v>
      </c>
      <c r="AQ19" s="178" t="s">
        <v>263</v>
      </c>
      <c r="AR19" s="178" t="s">
        <v>263</v>
      </c>
      <c r="AS19" s="178" t="s">
        <v>263</v>
      </c>
      <c r="AT19" s="178" t="s">
        <v>263</v>
      </c>
      <c r="AU19" s="178" t="s">
        <v>263</v>
      </c>
      <c r="AV19" s="178" t="s">
        <v>263</v>
      </c>
      <c r="AW19" s="176" t="s">
        <v>263</v>
      </c>
      <c r="AX19" s="176" t="s">
        <v>405</v>
      </c>
      <c r="AY19" s="189" t="s">
        <v>406</v>
      </c>
    </row>
    <row r="20" spans="1:51" ht="15.5" customHeight="1" x14ac:dyDescent="0.2">
      <c r="A20" s="175" t="s">
        <v>44</v>
      </c>
      <c r="B20" s="175">
        <v>775</v>
      </c>
      <c r="D20" s="176" t="s">
        <v>407</v>
      </c>
      <c r="E20" s="189" t="s">
        <v>44</v>
      </c>
      <c r="F20" s="211" t="s">
        <v>408</v>
      </c>
      <c r="H20" s="176" t="s">
        <v>409</v>
      </c>
      <c r="J20" s="189"/>
      <c r="K20" s="176" t="s">
        <v>174</v>
      </c>
      <c r="L20" s="176" t="s">
        <v>175</v>
      </c>
      <c r="M20" s="201"/>
      <c r="N20" s="176">
        <v>1250</v>
      </c>
      <c r="P20" s="177" t="s">
        <v>274</v>
      </c>
      <c r="Q20" s="177" t="s">
        <v>410</v>
      </c>
      <c r="R20" s="201"/>
      <c r="Y20" s="187" t="s">
        <v>106</v>
      </c>
      <c r="Z20" s="176" t="s">
        <v>278</v>
      </c>
      <c r="AA20" s="178" t="s">
        <v>263</v>
      </c>
      <c r="AB20" s="178" t="s">
        <v>263</v>
      </c>
      <c r="AC20" s="178" t="s">
        <v>263</v>
      </c>
      <c r="AD20" s="178" t="s">
        <v>263</v>
      </c>
      <c r="AE20" s="178" t="s">
        <v>263</v>
      </c>
      <c r="AF20" s="178" t="s">
        <v>263</v>
      </c>
      <c r="AG20" s="178" t="s">
        <v>263</v>
      </c>
      <c r="AH20" s="178" t="s">
        <v>263</v>
      </c>
      <c r="AI20" s="178" t="s">
        <v>263</v>
      </c>
      <c r="AJ20" s="178" t="s">
        <v>263</v>
      </c>
      <c r="AK20" s="178" t="s">
        <v>263</v>
      </c>
      <c r="AL20" s="178" t="s">
        <v>263</v>
      </c>
      <c r="AM20" s="178" t="s">
        <v>263</v>
      </c>
      <c r="AN20" s="178" t="s">
        <v>263</v>
      </c>
      <c r="AO20" s="178" t="s">
        <v>263</v>
      </c>
      <c r="AP20" s="178" t="s">
        <v>263</v>
      </c>
      <c r="AQ20" s="178" t="s">
        <v>263</v>
      </c>
      <c r="AR20" s="178" t="s">
        <v>263</v>
      </c>
      <c r="AS20" s="178" t="s">
        <v>263</v>
      </c>
      <c r="AT20" s="178" t="s">
        <v>263</v>
      </c>
      <c r="AU20" s="178" t="s">
        <v>263</v>
      </c>
      <c r="AV20" s="178" t="s">
        <v>263</v>
      </c>
      <c r="AW20" s="202" t="s">
        <v>263</v>
      </c>
      <c r="AX20" s="176" t="s">
        <v>263</v>
      </c>
      <c r="AY20" s="176" t="s">
        <v>411</v>
      </c>
    </row>
    <row r="21" spans="1:51" ht="15.5" customHeight="1" x14ac:dyDescent="0.2">
      <c r="A21" s="175" t="s">
        <v>211</v>
      </c>
      <c r="B21" s="175">
        <v>775</v>
      </c>
      <c r="D21" s="189" t="s">
        <v>321</v>
      </c>
      <c r="E21" s="204" t="s">
        <v>412</v>
      </c>
      <c r="F21" s="204" t="s">
        <v>413</v>
      </c>
      <c r="G21" s="176" t="s">
        <v>414</v>
      </c>
      <c r="H21" s="176" t="s">
        <v>415</v>
      </c>
      <c r="I21" s="176" t="s">
        <v>255</v>
      </c>
      <c r="J21" s="176" t="s">
        <v>416</v>
      </c>
      <c r="K21" s="201" t="s">
        <v>417</v>
      </c>
      <c r="L21" s="201" t="s">
        <v>213</v>
      </c>
      <c r="M21" s="201" t="s">
        <v>418</v>
      </c>
      <c r="N21" s="201">
        <v>110</v>
      </c>
      <c r="O21" s="176" t="s">
        <v>344</v>
      </c>
      <c r="P21" s="177" t="s">
        <v>419</v>
      </c>
      <c r="Q21" s="177" t="s">
        <v>420</v>
      </c>
      <c r="R21" s="191"/>
      <c r="T21" s="201">
        <v>437</v>
      </c>
      <c r="W21" s="176">
        <v>705</v>
      </c>
      <c r="X21" s="176">
        <v>1140</v>
      </c>
      <c r="Y21" s="199" t="s">
        <v>108</v>
      </c>
      <c r="Z21" s="176" t="s">
        <v>262</v>
      </c>
      <c r="AA21" s="178">
        <v>17.3</v>
      </c>
      <c r="AB21" s="207">
        <v>13.5</v>
      </c>
      <c r="AC21" s="178">
        <v>16.8</v>
      </c>
      <c r="AD21" s="178">
        <v>19.8</v>
      </c>
      <c r="AE21" s="178">
        <v>21.2</v>
      </c>
      <c r="AF21" s="178">
        <v>29.6</v>
      </c>
      <c r="AG21" s="178">
        <v>32</v>
      </c>
      <c r="AH21" s="178">
        <v>31.9</v>
      </c>
      <c r="AI21" s="178">
        <v>34.5</v>
      </c>
      <c r="AJ21" s="178">
        <v>17.7</v>
      </c>
      <c r="AK21" s="178">
        <v>30.2</v>
      </c>
      <c r="AL21" s="178" t="s">
        <v>263</v>
      </c>
      <c r="AM21" s="178" t="s">
        <v>263</v>
      </c>
      <c r="AN21" s="178" t="s">
        <v>263</v>
      </c>
      <c r="AO21" s="178" t="s">
        <v>263</v>
      </c>
      <c r="AP21" s="178" t="s">
        <v>263</v>
      </c>
      <c r="AQ21" s="178" t="s">
        <v>263</v>
      </c>
      <c r="AR21" s="178" t="s">
        <v>263</v>
      </c>
      <c r="AS21" s="178" t="s">
        <v>263</v>
      </c>
      <c r="AT21" s="178" t="s">
        <v>263</v>
      </c>
      <c r="AU21" s="178" t="s">
        <v>263</v>
      </c>
      <c r="AV21" s="178" t="s">
        <v>263</v>
      </c>
      <c r="AW21" s="176" t="s">
        <v>335</v>
      </c>
      <c r="AX21" s="176" t="s">
        <v>263</v>
      </c>
      <c r="AY21" s="176" t="s">
        <v>421</v>
      </c>
    </row>
    <row r="22" spans="1:51" ht="15.5" customHeight="1" x14ac:dyDescent="0.2">
      <c r="A22" s="175" t="s">
        <v>23</v>
      </c>
      <c r="B22" s="175">
        <v>775</v>
      </c>
      <c r="D22" s="176" t="s">
        <v>422</v>
      </c>
      <c r="E22" s="176" t="s">
        <v>423</v>
      </c>
      <c r="F22" s="176" t="s">
        <v>424</v>
      </c>
      <c r="G22" s="176" t="s">
        <v>425</v>
      </c>
      <c r="H22" s="176" t="s">
        <v>426</v>
      </c>
      <c r="I22" s="176" t="s">
        <v>427</v>
      </c>
      <c r="J22" s="176" t="s">
        <v>428</v>
      </c>
      <c r="K22" s="176" t="s">
        <v>142</v>
      </c>
      <c r="L22" s="176" t="s">
        <v>143</v>
      </c>
      <c r="M22" s="176" t="s">
        <v>288</v>
      </c>
      <c r="N22" s="176">
        <v>3700</v>
      </c>
      <c r="P22" s="177" t="s">
        <v>429</v>
      </c>
      <c r="Q22" s="177" t="s">
        <v>430</v>
      </c>
      <c r="R22" s="176" t="s">
        <v>431</v>
      </c>
      <c r="S22" s="176" t="s">
        <v>432</v>
      </c>
      <c r="W22" s="176">
        <v>736</v>
      </c>
      <c r="X22" s="176">
        <v>1994</v>
      </c>
      <c r="Y22" s="176" t="s">
        <v>107</v>
      </c>
      <c r="Z22" s="176" t="s">
        <v>278</v>
      </c>
      <c r="AA22" s="178">
        <v>39</v>
      </c>
      <c r="AB22" s="178">
        <v>40</v>
      </c>
      <c r="AC22" s="178">
        <v>35</v>
      </c>
      <c r="AD22" s="178">
        <v>53</v>
      </c>
      <c r="AE22" s="178">
        <v>32</v>
      </c>
      <c r="AF22" s="178">
        <v>34</v>
      </c>
      <c r="AG22" s="178">
        <v>47</v>
      </c>
      <c r="AH22" s="178">
        <v>26</v>
      </c>
      <c r="AI22" s="178">
        <v>40</v>
      </c>
      <c r="AJ22" s="178">
        <v>32</v>
      </c>
      <c r="AK22" s="178">
        <v>39</v>
      </c>
      <c r="AL22" s="178" t="s">
        <v>263</v>
      </c>
      <c r="AM22" s="178" t="s">
        <v>263</v>
      </c>
      <c r="AN22" s="178" t="s">
        <v>263</v>
      </c>
      <c r="AO22" s="178" t="s">
        <v>263</v>
      </c>
      <c r="AP22" s="178" t="s">
        <v>263</v>
      </c>
      <c r="AQ22" s="178" t="s">
        <v>263</v>
      </c>
      <c r="AR22" s="178" t="s">
        <v>263</v>
      </c>
      <c r="AS22" s="178" t="s">
        <v>263</v>
      </c>
      <c r="AT22" s="178" t="s">
        <v>263</v>
      </c>
      <c r="AU22" s="178" t="s">
        <v>263</v>
      </c>
      <c r="AV22" s="178" t="s">
        <v>263</v>
      </c>
      <c r="AW22" s="176" t="s">
        <v>433</v>
      </c>
      <c r="AX22" s="201" t="s">
        <v>263</v>
      </c>
      <c r="AY22" s="176" t="s">
        <v>434</v>
      </c>
    </row>
    <row r="23" spans="1:51" ht="15.5" customHeight="1" x14ac:dyDescent="0.2">
      <c r="A23" s="175" t="s">
        <v>0</v>
      </c>
      <c r="B23" s="175">
        <v>775</v>
      </c>
      <c r="D23" s="176" t="s">
        <v>435</v>
      </c>
      <c r="E23" s="176" t="s">
        <v>436</v>
      </c>
      <c r="F23" s="176" t="s">
        <v>437</v>
      </c>
      <c r="G23" s="189" t="s">
        <v>438</v>
      </c>
      <c r="H23" s="176" t="s">
        <v>439</v>
      </c>
      <c r="I23" s="176" t="s">
        <v>440</v>
      </c>
      <c r="J23" s="176" t="s">
        <v>441</v>
      </c>
      <c r="K23" s="202" t="s">
        <v>136</v>
      </c>
      <c r="L23" s="202" t="s">
        <v>137</v>
      </c>
      <c r="M23" s="189"/>
      <c r="N23" s="202">
        <v>1980</v>
      </c>
      <c r="O23" s="189"/>
      <c r="P23" s="177" t="s">
        <v>442</v>
      </c>
      <c r="Q23" s="177" t="s">
        <v>443</v>
      </c>
      <c r="R23" s="189" t="s">
        <v>444</v>
      </c>
      <c r="T23" s="189"/>
      <c r="U23" s="189"/>
      <c r="V23" s="189"/>
      <c r="W23" s="189">
        <v>770</v>
      </c>
      <c r="X23" s="189">
        <v>780</v>
      </c>
      <c r="Y23" s="199" t="s">
        <v>108</v>
      </c>
      <c r="Z23" s="176" t="s">
        <v>445</v>
      </c>
      <c r="AA23" s="178">
        <v>49.25</v>
      </c>
      <c r="AB23" s="178">
        <v>72.599999999999994</v>
      </c>
      <c r="AC23" s="178">
        <v>65.8</v>
      </c>
      <c r="AD23" s="178">
        <v>49.45</v>
      </c>
      <c r="AE23" s="178">
        <v>50.75</v>
      </c>
      <c r="AF23" s="178">
        <v>57.65</v>
      </c>
      <c r="AG23" s="178">
        <v>63.65</v>
      </c>
      <c r="AH23" s="178">
        <v>69.650000000000006</v>
      </c>
      <c r="AI23" s="178">
        <v>75.8</v>
      </c>
      <c r="AJ23" s="178">
        <v>65.349999999999994</v>
      </c>
      <c r="AK23" s="178">
        <v>72.8</v>
      </c>
      <c r="AL23" s="178" t="s">
        <v>263</v>
      </c>
      <c r="AM23" s="178" t="s">
        <v>263</v>
      </c>
      <c r="AN23" s="178" t="s">
        <v>263</v>
      </c>
      <c r="AO23" s="178" t="s">
        <v>263</v>
      </c>
      <c r="AP23" s="178" t="s">
        <v>263</v>
      </c>
      <c r="AQ23" s="178" t="s">
        <v>263</v>
      </c>
      <c r="AR23" s="178" t="s">
        <v>263</v>
      </c>
      <c r="AS23" s="178" t="s">
        <v>263</v>
      </c>
      <c r="AT23" s="178" t="s">
        <v>263</v>
      </c>
      <c r="AU23" s="178" t="s">
        <v>263</v>
      </c>
      <c r="AV23" s="178" t="s">
        <v>263</v>
      </c>
      <c r="AW23" s="189" t="s">
        <v>263</v>
      </c>
      <c r="AX23" s="176" t="s">
        <v>263</v>
      </c>
      <c r="AY23" s="176" t="s">
        <v>263</v>
      </c>
    </row>
    <row r="24" spans="1:51" ht="15.5" customHeight="1" x14ac:dyDescent="0.2">
      <c r="A24" s="175" t="s">
        <v>3</v>
      </c>
      <c r="B24" s="175">
        <v>775</v>
      </c>
      <c r="D24" s="189" t="s">
        <v>435</v>
      </c>
      <c r="E24" s="189" t="s">
        <v>446</v>
      </c>
      <c r="F24" s="176" t="s">
        <v>447</v>
      </c>
      <c r="G24" s="189" t="s">
        <v>448</v>
      </c>
      <c r="H24" s="189" t="s">
        <v>449</v>
      </c>
      <c r="I24" s="176" t="s">
        <v>440</v>
      </c>
      <c r="J24" s="189" t="s">
        <v>441</v>
      </c>
      <c r="K24" s="176" t="s">
        <v>138</v>
      </c>
      <c r="L24" s="176" t="s">
        <v>139</v>
      </c>
      <c r="M24" s="176" t="s">
        <v>263</v>
      </c>
      <c r="N24" s="201">
        <v>783</v>
      </c>
      <c r="O24" s="201" t="s">
        <v>450</v>
      </c>
      <c r="P24" s="203" t="s">
        <v>451</v>
      </c>
      <c r="Q24" s="203" t="s">
        <v>452</v>
      </c>
      <c r="R24" s="191"/>
      <c r="T24" s="176">
        <v>1454</v>
      </c>
      <c r="U24" s="202">
        <v>1454</v>
      </c>
      <c r="V24" s="201" t="s">
        <v>263</v>
      </c>
      <c r="W24" s="189">
        <v>465</v>
      </c>
      <c r="X24" s="201">
        <v>1918</v>
      </c>
      <c r="Y24" s="199" t="s">
        <v>108</v>
      </c>
      <c r="Z24" s="176" t="s">
        <v>278</v>
      </c>
      <c r="AA24" s="178" t="s">
        <v>263</v>
      </c>
      <c r="AB24" s="178" t="s">
        <v>263</v>
      </c>
      <c r="AC24" s="178" t="s">
        <v>263</v>
      </c>
      <c r="AD24" s="178" t="s">
        <v>263</v>
      </c>
      <c r="AE24" s="178" t="s">
        <v>263</v>
      </c>
      <c r="AF24" s="178" t="s">
        <v>263</v>
      </c>
      <c r="AG24" s="178" t="s">
        <v>263</v>
      </c>
      <c r="AH24" s="178" t="s">
        <v>263</v>
      </c>
      <c r="AI24" s="178" t="s">
        <v>263</v>
      </c>
      <c r="AJ24" s="178" t="s">
        <v>263</v>
      </c>
      <c r="AK24" s="178" t="s">
        <v>263</v>
      </c>
      <c r="AL24" s="178" t="s">
        <v>263</v>
      </c>
      <c r="AM24" s="178" t="s">
        <v>263</v>
      </c>
      <c r="AN24" s="178" t="s">
        <v>263</v>
      </c>
      <c r="AO24" s="178" t="s">
        <v>263</v>
      </c>
      <c r="AP24" s="178" t="s">
        <v>263</v>
      </c>
      <c r="AQ24" s="178" t="s">
        <v>263</v>
      </c>
      <c r="AR24" s="178" t="s">
        <v>263</v>
      </c>
      <c r="AS24" s="178" t="s">
        <v>263</v>
      </c>
      <c r="AT24" s="178" t="s">
        <v>263</v>
      </c>
      <c r="AU24" s="178" t="s">
        <v>263</v>
      </c>
      <c r="AV24" s="178" t="s">
        <v>263</v>
      </c>
      <c r="AW24" s="191" t="s">
        <v>263</v>
      </c>
      <c r="AX24" s="201" t="s">
        <v>453</v>
      </c>
      <c r="AY24" s="176" t="s">
        <v>263</v>
      </c>
    </row>
    <row r="25" spans="1:51" ht="15.5" customHeight="1" x14ac:dyDescent="0.2">
      <c r="A25" s="175" t="s">
        <v>35</v>
      </c>
      <c r="B25" s="175">
        <v>775</v>
      </c>
      <c r="D25" s="176" t="s">
        <v>266</v>
      </c>
      <c r="E25" s="176" t="s">
        <v>454</v>
      </c>
      <c r="F25" s="176" t="s">
        <v>455</v>
      </c>
      <c r="G25" s="176">
        <v>2093</v>
      </c>
      <c r="H25" s="176" t="s">
        <v>456</v>
      </c>
      <c r="I25" s="176" t="s">
        <v>255</v>
      </c>
      <c r="J25" s="176" t="s">
        <v>457</v>
      </c>
      <c r="K25" s="176" t="s">
        <v>182</v>
      </c>
      <c r="L25" s="176" t="s">
        <v>458</v>
      </c>
      <c r="N25" s="176">
        <v>35</v>
      </c>
      <c r="O25" s="189" t="s">
        <v>459</v>
      </c>
      <c r="P25" s="177" t="s">
        <v>274</v>
      </c>
      <c r="Q25" s="177" t="s">
        <v>275</v>
      </c>
      <c r="R25" s="176" t="s">
        <v>460</v>
      </c>
      <c r="U25" s="176">
        <v>155</v>
      </c>
      <c r="W25" s="176">
        <v>754</v>
      </c>
      <c r="X25" s="176">
        <v>908</v>
      </c>
      <c r="Y25" s="214" t="s">
        <v>105</v>
      </c>
      <c r="Z25" s="176" t="s">
        <v>278</v>
      </c>
      <c r="AA25" s="178">
        <v>102</v>
      </c>
      <c r="AB25" s="178">
        <v>64</v>
      </c>
      <c r="AC25" s="178">
        <v>40</v>
      </c>
      <c r="AD25" s="178">
        <v>35</v>
      </c>
      <c r="AE25" s="178">
        <v>67</v>
      </c>
      <c r="AF25" s="178">
        <v>108</v>
      </c>
      <c r="AG25" s="178">
        <v>180</v>
      </c>
      <c r="AH25" s="178">
        <v>162</v>
      </c>
      <c r="AI25" s="178">
        <v>207</v>
      </c>
      <c r="AJ25" s="178">
        <v>77</v>
      </c>
      <c r="AK25" s="178">
        <v>176</v>
      </c>
      <c r="AL25" s="178" t="s">
        <v>263</v>
      </c>
      <c r="AM25" s="178" t="s">
        <v>263</v>
      </c>
      <c r="AN25" s="178" t="s">
        <v>263</v>
      </c>
      <c r="AO25" s="178" t="s">
        <v>263</v>
      </c>
      <c r="AP25" s="178" t="s">
        <v>263</v>
      </c>
      <c r="AQ25" s="178" t="s">
        <v>263</v>
      </c>
      <c r="AR25" s="178" t="s">
        <v>263</v>
      </c>
      <c r="AS25" s="178" t="s">
        <v>263</v>
      </c>
      <c r="AT25" s="178" t="s">
        <v>263</v>
      </c>
      <c r="AU25" s="178" t="s">
        <v>263</v>
      </c>
      <c r="AV25" s="178" t="s">
        <v>263</v>
      </c>
      <c r="AW25" s="176" t="s">
        <v>461</v>
      </c>
      <c r="AX25" s="176" t="s">
        <v>462</v>
      </c>
      <c r="AY25" s="201" t="s">
        <v>463</v>
      </c>
    </row>
    <row r="26" spans="1:51" ht="15.5" customHeight="1" x14ac:dyDescent="0.2">
      <c r="A26" s="175" t="s">
        <v>25</v>
      </c>
      <c r="B26" s="175">
        <v>775</v>
      </c>
      <c r="D26" s="176" t="s">
        <v>266</v>
      </c>
      <c r="E26" s="176" t="s">
        <v>464</v>
      </c>
      <c r="F26" s="176" t="s">
        <v>465</v>
      </c>
      <c r="G26" s="176" t="s">
        <v>466</v>
      </c>
      <c r="H26" s="176" t="s">
        <v>467</v>
      </c>
      <c r="I26" s="176" t="s">
        <v>271</v>
      </c>
      <c r="J26" s="176" t="s">
        <v>272</v>
      </c>
      <c r="K26" s="176" t="s">
        <v>188</v>
      </c>
      <c r="L26" s="176" t="s">
        <v>189</v>
      </c>
      <c r="M26" s="176" t="s">
        <v>263</v>
      </c>
      <c r="N26" s="176">
        <v>250</v>
      </c>
      <c r="P26" s="177" t="s">
        <v>274</v>
      </c>
      <c r="Q26" s="177" t="s">
        <v>468</v>
      </c>
      <c r="R26" s="176" t="s">
        <v>469</v>
      </c>
      <c r="Y26" s="214" t="s">
        <v>105</v>
      </c>
      <c r="Z26" s="176" t="s">
        <v>278</v>
      </c>
      <c r="AA26" s="178">
        <v>28</v>
      </c>
      <c r="AB26" s="213">
        <v>38</v>
      </c>
      <c r="AC26" s="178">
        <v>26</v>
      </c>
      <c r="AD26" s="178">
        <v>12</v>
      </c>
      <c r="AE26" s="178">
        <v>20</v>
      </c>
      <c r="AF26" s="178">
        <v>19</v>
      </c>
      <c r="AG26" s="178">
        <v>38</v>
      </c>
      <c r="AH26" s="178">
        <v>28</v>
      </c>
      <c r="AI26" s="178">
        <v>33</v>
      </c>
      <c r="AJ26" s="178">
        <v>37</v>
      </c>
      <c r="AK26" s="178">
        <v>6</v>
      </c>
      <c r="AL26" s="178" t="s">
        <v>263</v>
      </c>
      <c r="AM26" s="178" t="s">
        <v>263</v>
      </c>
      <c r="AN26" s="178" t="s">
        <v>263</v>
      </c>
      <c r="AO26" s="178" t="s">
        <v>263</v>
      </c>
      <c r="AP26" s="178" t="s">
        <v>263</v>
      </c>
      <c r="AQ26" s="178" t="s">
        <v>263</v>
      </c>
      <c r="AR26" s="178" t="s">
        <v>263</v>
      </c>
      <c r="AS26" s="178" t="s">
        <v>263</v>
      </c>
      <c r="AT26" s="178" t="s">
        <v>263</v>
      </c>
      <c r="AU26" s="178" t="s">
        <v>263</v>
      </c>
      <c r="AV26" s="178" t="s">
        <v>263</v>
      </c>
      <c r="AW26" s="199" t="s">
        <v>470</v>
      </c>
      <c r="AX26" s="176" t="s">
        <v>471</v>
      </c>
      <c r="AY26" s="176" t="s">
        <v>472</v>
      </c>
    </row>
    <row r="27" spans="1:51" ht="15.5" customHeight="1" x14ac:dyDescent="0.2">
      <c r="A27" s="175" t="s">
        <v>26</v>
      </c>
      <c r="B27" s="175">
        <v>775</v>
      </c>
      <c r="D27" s="176" t="s">
        <v>266</v>
      </c>
      <c r="E27" s="176" t="s">
        <v>473</v>
      </c>
      <c r="G27" s="176" t="s">
        <v>474</v>
      </c>
      <c r="H27" s="176" t="s">
        <v>475</v>
      </c>
      <c r="I27" s="176" t="s">
        <v>255</v>
      </c>
      <c r="K27" s="176" t="s">
        <v>186</v>
      </c>
      <c r="L27" s="176" t="s">
        <v>187</v>
      </c>
      <c r="N27" s="176">
        <v>150</v>
      </c>
      <c r="P27" s="177" t="s">
        <v>274</v>
      </c>
      <c r="Q27" s="177" t="s">
        <v>476</v>
      </c>
      <c r="R27" s="176" t="s">
        <v>477</v>
      </c>
      <c r="S27" s="176" t="s">
        <v>478</v>
      </c>
      <c r="W27" s="176">
        <v>746</v>
      </c>
      <c r="X27" s="176">
        <v>967</v>
      </c>
      <c r="Y27" s="214" t="s">
        <v>105</v>
      </c>
      <c r="Z27" s="176" t="s">
        <v>278</v>
      </c>
      <c r="AA27" s="178">
        <v>157</v>
      </c>
      <c r="AB27" s="213">
        <v>129</v>
      </c>
      <c r="AC27" s="178">
        <v>117</v>
      </c>
      <c r="AD27" s="178">
        <v>109</v>
      </c>
      <c r="AE27" s="178">
        <v>226</v>
      </c>
      <c r="AF27" s="178">
        <v>151</v>
      </c>
      <c r="AG27" s="178">
        <v>142</v>
      </c>
      <c r="AH27" s="178">
        <v>58</v>
      </c>
      <c r="AI27" s="178">
        <v>98</v>
      </c>
      <c r="AJ27" s="178">
        <v>52</v>
      </c>
      <c r="AK27" s="178">
        <v>99</v>
      </c>
      <c r="AL27" s="178" t="s">
        <v>263</v>
      </c>
      <c r="AM27" s="178" t="s">
        <v>263</v>
      </c>
      <c r="AN27" s="178" t="s">
        <v>263</v>
      </c>
      <c r="AO27" s="178" t="s">
        <v>263</v>
      </c>
      <c r="AP27" s="178" t="s">
        <v>263</v>
      </c>
      <c r="AQ27" s="178" t="s">
        <v>263</v>
      </c>
      <c r="AR27" s="178" t="s">
        <v>263</v>
      </c>
      <c r="AS27" s="178" t="s">
        <v>263</v>
      </c>
      <c r="AT27" s="178" t="s">
        <v>263</v>
      </c>
      <c r="AU27" s="178" t="s">
        <v>263</v>
      </c>
      <c r="AV27" s="178" t="s">
        <v>263</v>
      </c>
      <c r="AW27" s="215" t="s">
        <v>479</v>
      </c>
      <c r="AX27" s="216" t="s">
        <v>263</v>
      </c>
      <c r="AY27" s="176" t="s">
        <v>263</v>
      </c>
    </row>
    <row r="28" spans="1:51" ht="15.5" customHeight="1" x14ac:dyDescent="0.2">
      <c r="A28" s="175" t="s">
        <v>27</v>
      </c>
      <c r="B28" s="175">
        <v>775</v>
      </c>
      <c r="D28" s="176" t="s">
        <v>266</v>
      </c>
      <c r="E28" s="176" t="s">
        <v>454</v>
      </c>
      <c r="H28" s="212" t="s">
        <v>480</v>
      </c>
      <c r="K28" s="176" t="s">
        <v>184</v>
      </c>
      <c r="L28" s="176" t="s">
        <v>185</v>
      </c>
      <c r="N28" s="176">
        <v>350</v>
      </c>
      <c r="P28" s="177" t="s">
        <v>274</v>
      </c>
      <c r="Q28" s="177" t="s">
        <v>275</v>
      </c>
      <c r="Y28" s="176" t="s">
        <v>105</v>
      </c>
      <c r="AA28" s="178" t="s">
        <v>263</v>
      </c>
      <c r="AB28" s="178" t="s">
        <v>263</v>
      </c>
      <c r="AC28" s="178" t="s">
        <v>263</v>
      </c>
      <c r="AD28" s="178" t="s">
        <v>263</v>
      </c>
      <c r="AE28" s="178" t="s">
        <v>263</v>
      </c>
      <c r="AF28" s="178" t="s">
        <v>263</v>
      </c>
      <c r="AG28" s="178" t="s">
        <v>263</v>
      </c>
      <c r="AH28" s="178" t="s">
        <v>263</v>
      </c>
      <c r="AI28" s="178" t="s">
        <v>263</v>
      </c>
      <c r="AJ28" s="178" t="s">
        <v>263</v>
      </c>
      <c r="AK28" s="178" t="s">
        <v>263</v>
      </c>
      <c r="AL28" s="178" t="s">
        <v>263</v>
      </c>
      <c r="AM28" s="178" t="s">
        <v>263</v>
      </c>
      <c r="AN28" s="178" t="s">
        <v>263</v>
      </c>
      <c r="AO28" s="178" t="s">
        <v>263</v>
      </c>
      <c r="AP28" s="178" t="s">
        <v>263</v>
      </c>
      <c r="AQ28" s="178" t="s">
        <v>263</v>
      </c>
      <c r="AR28" s="178" t="s">
        <v>263</v>
      </c>
      <c r="AS28" s="178" t="s">
        <v>263</v>
      </c>
      <c r="AT28" s="178" t="s">
        <v>263</v>
      </c>
      <c r="AU28" s="178" t="s">
        <v>263</v>
      </c>
      <c r="AV28" s="178" t="s">
        <v>263</v>
      </c>
    </row>
    <row r="29" spans="1:51" ht="15.5" customHeight="1" x14ac:dyDescent="0.2">
      <c r="A29" s="175" t="s">
        <v>481</v>
      </c>
      <c r="B29" s="175">
        <v>775</v>
      </c>
      <c r="D29" s="176" t="s">
        <v>349</v>
      </c>
      <c r="E29" s="176" t="s">
        <v>482</v>
      </c>
      <c r="F29" s="189" t="s">
        <v>17</v>
      </c>
      <c r="H29" s="176" t="s">
        <v>409</v>
      </c>
      <c r="J29" s="189"/>
      <c r="K29" s="176" t="s">
        <v>160</v>
      </c>
      <c r="L29" s="176" t="s">
        <v>161</v>
      </c>
      <c r="M29" s="201"/>
      <c r="N29" s="176">
        <v>149</v>
      </c>
      <c r="O29" s="176" t="s">
        <v>483</v>
      </c>
      <c r="P29" s="177" t="s">
        <v>484</v>
      </c>
      <c r="Q29" s="176" t="s">
        <v>485</v>
      </c>
      <c r="R29" s="201"/>
      <c r="Y29" s="187" t="s">
        <v>106</v>
      </c>
      <c r="Z29" s="176" t="s">
        <v>445</v>
      </c>
      <c r="AA29" s="178">
        <v>142</v>
      </c>
      <c r="AB29" s="178">
        <v>188</v>
      </c>
      <c r="AC29" s="178">
        <v>202</v>
      </c>
      <c r="AD29" s="178">
        <v>190</v>
      </c>
      <c r="AE29" s="178">
        <v>148</v>
      </c>
      <c r="AF29" s="178">
        <v>122</v>
      </c>
      <c r="AG29" s="178">
        <v>130</v>
      </c>
      <c r="AH29" s="178">
        <v>134</v>
      </c>
      <c r="AI29" s="178">
        <v>162</v>
      </c>
      <c r="AJ29" s="178">
        <v>197</v>
      </c>
      <c r="AK29" s="178">
        <v>180</v>
      </c>
      <c r="AL29" s="178" t="s">
        <v>263</v>
      </c>
      <c r="AM29" s="178" t="s">
        <v>263</v>
      </c>
      <c r="AN29" s="178" t="s">
        <v>263</v>
      </c>
      <c r="AO29" s="178" t="s">
        <v>263</v>
      </c>
      <c r="AP29" s="178" t="s">
        <v>263</v>
      </c>
      <c r="AQ29" s="178" t="s">
        <v>263</v>
      </c>
      <c r="AR29" s="178" t="s">
        <v>263</v>
      </c>
      <c r="AS29" s="178" t="s">
        <v>263</v>
      </c>
      <c r="AT29" s="178" t="s">
        <v>263</v>
      </c>
      <c r="AU29" s="178" t="s">
        <v>263</v>
      </c>
      <c r="AV29" s="178" t="s">
        <v>263</v>
      </c>
      <c r="AW29" s="202" t="s">
        <v>263</v>
      </c>
      <c r="AX29" s="176" t="s">
        <v>263</v>
      </c>
      <c r="AY29" s="176" t="s">
        <v>263</v>
      </c>
    </row>
    <row r="30" spans="1:51" ht="15.5" customHeight="1" x14ac:dyDescent="0.2">
      <c r="A30" s="175" t="s">
        <v>98</v>
      </c>
      <c r="B30" s="175">
        <v>775</v>
      </c>
      <c r="D30" s="189" t="s">
        <v>486</v>
      </c>
      <c r="E30" s="189" t="s">
        <v>487</v>
      </c>
      <c r="F30" s="205" t="s">
        <v>488</v>
      </c>
      <c r="G30" s="189">
        <v>230070</v>
      </c>
      <c r="H30" s="189" t="s">
        <v>489</v>
      </c>
      <c r="I30" s="189" t="s">
        <v>255</v>
      </c>
      <c r="J30" s="189" t="s">
        <v>490</v>
      </c>
      <c r="K30" s="176" t="s">
        <v>192</v>
      </c>
      <c r="L30" s="176" t="s">
        <v>193</v>
      </c>
      <c r="M30" s="176" t="s">
        <v>288</v>
      </c>
      <c r="N30" s="176">
        <v>425</v>
      </c>
      <c r="P30" s="177" t="s">
        <v>259</v>
      </c>
      <c r="Q30" s="177" t="s">
        <v>491</v>
      </c>
      <c r="R30" s="176" t="s">
        <v>492</v>
      </c>
      <c r="T30" s="205" t="s">
        <v>493</v>
      </c>
      <c r="U30" s="205">
        <f>W30-V30+1</f>
        <v>697</v>
      </c>
      <c r="W30" s="189">
        <v>696</v>
      </c>
      <c r="X30" s="176">
        <v>930</v>
      </c>
      <c r="Y30" s="214" t="s">
        <v>105</v>
      </c>
      <c r="Z30" s="176" t="s">
        <v>278</v>
      </c>
      <c r="AA30" s="178">
        <v>74</v>
      </c>
      <c r="AB30" s="178">
        <v>93</v>
      </c>
      <c r="AC30" s="178">
        <v>92</v>
      </c>
      <c r="AD30" s="178">
        <v>91</v>
      </c>
      <c r="AE30" s="178">
        <v>105</v>
      </c>
      <c r="AF30" s="178">
        <v>127</v>
      </c>
      <c r="AG30" s="178">
        <v>90</v>
      </c>
      <c r="AH30" s="178">
        <v>139</v>
      </c>
      <c r="AI30" s="178">
        <v>135</v>
      </c>
      <c r="AJ30" s="178">
        <v>148</v>
      </c>
      <c r="AK30" s="178">
        <v>141</v>
      </c>
      <c r="AL30" s="178" t="s">
        <v>263</v>
      </c>
      <c r="AM30" s="178" t="s">
        <v>263</v>
      </c>
      <c r="AN30" s="178" t="s">
        <v>263</v>
      </c>
      <c r="AO30" s="178" t="s">
        <v>263</v>
      </c>
      <c r="AP30" s="178" t="s">
        <v>263</v>
      </c>
      <c r="AQ30" s="178" t="s">
        <v>263</v>
      </c>
      <c r="AR30" s="178" t="s">
        <v>263</v>
      </c>
      <c r="AS30" s="178" t="s">
        <v>263</v>
      </c>
      <c r="AT30" s="178" t="s">
        <v>263</v>
      </c>
      <c r="AU30" s="178" t="s">
        <v>263</v>
      </c>
      <c r="AV30" s="178" t="s">
        <v>263</v>
      </c>
      <c r="AW30" s="199" t="s">
        <v>494</v>
      </c>
      <c r="AX30" s="176" t="s">
        <v>263</v>
      </c>
      <c r="AY30" s="189" t="s">
        <v>495</v>
      </c>
    </row>
    <row r="31" spans="1:51" ht="15.5" customHeight="1" x14ac:dyDescent="0.2">
      <c r="A31" s="175" t="s">
        <v>28</v>
      </c>
      <c r="B31" s="175">
        <v>775</v>
      </c>
      <c r="D31" s="189" t="s">
        <v>486</v>
      </c>
      <c r="E31" s="189" t="s">
        <v>496</v>
      </c>
      <c r="F31" s="189" t="s">
        <v>497</v>
      </c>
      <c r="G31" s="189" t="s">
        <v>498</v>
      </c>
      <c r="H31" s="189" t="s">
        <v>499</v>
      </c>
      <c r="I31" s="189" t="s">
        <v>255</v>
      </c>
      <c r="J31" s="189" t="s">
        <v>500</v>
      </c>
      <c r="K31" s="189" t="s">
        <v>180</v>
      </c>
      <c r="L31" s="189" t="s">
        <v>181</v>
      </c>
      <c r="M31" s="189" t="s">
        <v>501</v>
      </c>
      <c r="N31" s="189">
        <v>530</v>
      </c>
      <c r="P31" s="190" t="s">
        <v>300</v>
      </c>
      <c r="Q31" s="190" t="s">
        <v>377</v>
      </c>
      <c r="R31" s="176" t="s">
        <v>502</v>
      </c>
      <c r="S31" s="176" t="s">
        <v>503</v>
      </c>
      <c r="U31" s="189">
        <v>172</v>
      </c>
      <c r="V31" s="189"/>
      <c r="W31" s="189">
        <v>696</v>
      </c>
      <c r="X31" s="189">
        <v>867</v>
      </c>
      <c r="Y31" s="214" t="s">
        <v>105</v>
      </c>
      <c r="Z31" s="176" t="s">
        <v>278</v>
      </c>
      <c r="AA31" s="178">
        <v>68</v>
      </c>
      <c r="AB31" s="178">
        <v>51</v>
      </c>
      <c r="AC31" s="178">
        <v>60</v>
      </c>
      <c r="AD31" s="178">
        <v>61</v>
      </c>
      <c r="AE31" s="178">
        <v>55</v>
      </c>
      <c r="AF31" s="178">
        <v>66</v>
      </c>
      <c r="AG31" s="178">
        <v>53</v>
      </c>
      <c r="AH31" s="178">
        <v>84</v>
      </c>
      <c r="AI31" s="178">
        <v>76</v>
      </c>
      <c r="AJ31" s="178">
        <v>59</v>
      </c>
      <c r="AK31" s="178">
        <v>86</v>
      </c>
      <c r="AL31" s="178" t="s">
        <v>263</v>
      </c>
      <c r="AM31" s="178" t="s">
        <v>263</v>
      </c>
      <c r="AN31" s="178" t="s">
        <v>263</v>
      </c>
      <c r="AO31" s="178" t="s">
        <v>263</v>
      </c>
      <c r="AP31" s="178" t="s">
        <v>263</v>
      </c>
      <c r="AQ31" s="178" t="s">
        <v>263</v>
      </c>
      <c r="AR31" s="178" t="s">
        <v>263</v>
      </c>
      <c r="AS31" s="178" t="s">
        <v>263</v>
      </c>
      <c r="AT31" s="178" t="s">
        <v>263</v>
      </c>
      <c r="AU31" s="178" t="s">
        <v>263</v>
      </c>
      <c r="AV31" s="178" t="s">
        <v>263</v>
      </c>
      <c r="AW31" s="176" t="s">
        <v>504</v>
      </c>
      <c r="AX31" s="217" t="s">
        <v>505</v>
      </c>
      <c r="AY31" s="198" t="s">
        <v>506</v>
      </c>
    </row>
    <row r="32" spans="1:51" ht="15.5" customHeight="1" x14ac:dyDescent="0.2">
      <c r="A32" s="175" t="s">
        <v>6</v>
      </c>
      <c r="B32" s="175">
        <v>775</v>
      </c>
      <c r="D32" s="176" t="s">
        <v>507</v>
      </c>
      <c r="E32" s="176" t="s">
        <v>412</v>
      </c>
      <c r="G32" s="176" t="s">
        <v>508</v>
      </c>
      <c r="H32" s="176" t="s">
        <v>509</v>
      </c>
      <c r="I32" s="176" t="s">
        <v>255</v>
      </c>
      <c r="J32" s="176" t="s">
        <v>403</v>
      </c>
      <c r="K32" s="176" t="s">
        <v>132</v>
      </c>
      <c r="L32" s="176" t="s">
        <v>133</v>
      </c>
      <c r="N32" s="176">
        <v>150</v>
      </c>
      <c r="P32" s="177" t="s">
        <v>419</v>
      </c>
      <c r="Q32" s="177" t="s">
        <v>510</v>
      </c>
      <c r="Y32" s="199" t="s">
        <v>108</v>
      </c>
      <c r="Z32" s="176" t="s">
        <v>278</v>
      </c>
      <c r="AA32" s="178" t="s">
        <v>263</v>
      </c>
      <c r="AB32" s="178" t="s">
        <v>263</v>
      </c>
      <c r="AC32" s="178" t="s">
        <v>263</v>
      </c>
      <c r="AD32" s="178" t="s">
        <v>263</v>
      </c>
      <c r="AE32" s="178" t="s">
        <v>263</v>
      </c>
      <c r="AF32" s="178" t="s">
        <v>263</v>
      </c>
      <c r="AG32" s="178" t="s">
        <v>263</v>
      </c>
      <c r="AH32" s="178" t="s">
        <v>263</v>
      </c>
      <c r="AI32" s="178" t="s">
        <v>263</v>
      </c>
      <c r="AJ32" s="178" t="s">
        <v>263</v>
      </c>
      <c r="AK32" s="178" t="s">
        <v>263</v>
      </c>
      <c r="AL32" s="178" t="s">
        <v>263</v>
      </c>
      <c r="AM32" s="178" t="s">
        <v>263</v>
      </c>
      <c r="AN32" s="178" t="s">
        <v>263</v>
      </c>
      <c r="AO32" s="178" t="s">
        <v>263</v>
      </c>
      <c r="AP32" s="178" t="s">
        <v>263</v>
      </c>
      <c r="AQ32" s="178" t="s">
        <v>263</v>
      </c>
      <c r="AR32" s="178" t="s">
        <v>263</v>
      </c>
      <c r="AS32" s="178" t="s">
        <v>263</v>
      </c>
      <c r="AT32" s="178" t="s">
        <v>263</v>
      </c>
      <c r="AU32" s="178" t="s">
        <v>263</v>
      </c>
      <c r="AV32" s="178" t="s">
        <v>263</v>
      </c>
      <c r="AW32" s="176" t="s">
        <v>263</v>
      </c>
      <c r="AX32" s="176" t="s">
        <v>511</v>
      </c>
      <c r="AY32" s="176" t="s">
        <v>263</v>
      </c>
    </row>
    <row r="33" spans="1:51" ht="15.5" customHeight="1" x14ac:dyDescent="0.2">
      <c r="A33" s="175" t="s">
        <v>29</v>
      </c>
      <c r="B33" s="175">
        <v>775</v>
      </c>
      <c r="D33" s="176" t="s">
        <v>512</v>
      </c>
      <c r="E33" s="176" t="s">
        <v>513</v>
      </c>
      <c r="G33" s="176" t="s">
        <v>514</v>
      </c>
      <c r="H33" s="176" t="s">
        <v>515</v>
      </c>
      <c r="I33" s="176" t="s">
        <v>255</v>
      </c>
      <c r="J33" s="176" t="s">
        <v>516</v>
      </c>
      <c r="K33" s="176" t="s">
        <v>140</v>
      </c>
      <c r="L33" s="176" t="s">
        <v>141</v>
      </c>
      <c r="N33" s="176">
        <v>4000</v>
      </c>
      <c r="P33" s="177" t="s">
        <v>314</v>
      </c>
      <c r="Q33" s="177" t="s">
        <v>517</v>
      </c>
      <c r="S33" s="176" t="s">
        <v>518</v>
      </c>
      <c r="Y33" s="176" t="s">
        <v>107</v>
      </c>
      <c r="Z33" s="176" t="s">
        <v>278</v>
      </c>
      <c r="AA33" s="178">
        <v>28</v>
      </c>
      <c r="AB33" s="207">
        <v>24</v>
      </c>
      <c r="AC33" s="207">
        <v>23</v>
      </c>
      <c r="AD33" s="207">
        <v>17</v>
      </c>
      <c r="AE33" s="207">
        <v>25</v>
      </c>
      <c r="AF33" s="207">
        <v>30</v>
      </c>
      <c r="AG33" s="207">
        <v>29</v>
      </c>
      <c r="AH33" s="207">
        <v>24</v>
      </c>
      <c r="AI33" s="207">
        <v>25</v>
      </c>
      <c r="AJ33" s="207">
        <v>24</v>
      </c>
      <c r="AK33" s="207">
        <v>22</v>
      </c>
      <c r="AL33" s="207" t="s">
        <v>263</v>
      </c>
      <c r="AM33" s="207" t="s">
        <v>263</v>
      </c>
      <c r="AN33" s="207" t="s">
        <v>263</v>
      </c>
      <c r="AO33" s="207" t="s">
        <v>263</v>
      </c>
      <c r="AP33" s="207" t="s">
        <v>263</v>
      </c>
      <c r="AQ33" s="207" t="s">
        <v>263</v>
      </c>
      <c r="AR33" s="207" t="s">
        <v>263</v>
      </c>
      <c r="AS33" s="207" t="s">
        <v>263</v>
      </c>
      <c r="AT33" s="207" t="s">
        <v>263</v>
      </c>
      <c r="AU33" s="207" t="s">
        <v>263</v>
      </c>
      <c r="AV33" s="207" t="s">
        <v>263</v>
      </c>
      <c r="AW33" s="208" t="s">
        <v>519</v>
      </c>
      <c r="AX33" s="176" t="s">
        <v>520</v>
      </c>
      <c r="AY33" s="209" t="s">
        <v>521</v>
      </c>
    </row>
    <row r="34" spans="1:51" ht="15.5" customHeight="1" x14ac:dyDescent="0.2">
      <c r="A34" s="175" t="s">
        <v>522</v>
      </c>
      <c r="B34" s="175">
        <v>775</v>
      </c>
      <c r="D34" s="189" t="s">
        <v>486</v>
      </c>
      <c r="E34" s="189" t="s">
        <v>487</v>
      </c>
      <c r="F34" s="189" t="s">
        <v>523</v>
      </c>
      <c r="G34" s="176" t="s">
        <v>524</v>
      </c>
      <c r="H34" s="189" t="s">
        <v>525</v>
      </c>
      <c r="I34" s="189" t="s">
        <v>440</v>
      </c>
      <c r="J34" s="189" t="s">
        <v>526</v>
      </c>
      <c r="K34" s="176" t="s">
        <v>190</v>
      </c>
      <c r="L34" s="176" t="s">
        <v>191</v>
      </c>
      <c r="M34" s="189" t="s">
        <v>527</v>
      </c>
      <c r="N34" s="189">
        <v>400</v>
      </c>
      <c r="O34" s="189" t="s">
        <v>528</v>
      </c>
      <c r="P34" s="190" t="s">
        <v>259</v>
      </c>
      <c r="Q34" s="190" t="s">
        <v>491</v>
      </c>
      <c r="R34" s="176" t="s">
        <v>529</v>
      </c>
      <c r="T34" s="189"/>
      <c r="U34" s="189">
        <v>11</v>
      </c>
      <c r="V34" s="189"/>
      <c r="W34" s="189">
        <v>770</v>
      </c>
      <c r="X34" s="189">
        <v>780</v>
      </c>
      <c r="Y34" s="214" t="s">
        <v>105</v>
      </c>
      <c r="Z34" s="176" t="s">
        <v>278</v>
      </c>
      <c r="AA34" s="178">
        <v>43</v>
      </c>
      <c r="AB34" s="178">
        <v>67</v>
      </c>
      <c r="AC34" s="178">
        <v>56</v>
      </c>
      <c r="AD34" s="178">
        <v>45</v>
      </c>
      <c r="AE34" s="178">
        <v>25</v>
      </c>
      <c r="AF34" s="178">
        <v>43</v>
      </c>
      <c r="AG34" s="178">
        <v>46</v>
      </c>
      <c r="AH34" s="178">
        <v>53</v>
      </c>
      <c r="AI34" s="178">
        <v>48</v>
      </c>
      <c r="AJ34" s="178">
        <v>55</v>
      </c>
      <c r="AK34" s="178">
        <v>49</v>
      </c>
      <c r="AL34" s="178" t="s">
        <v>263</v>
      </c>
      <c r="AM34" s="178" t="s">
        <v>263</v>
      </c>
      <c r="AN34" s="178" t="s">
        <v>263</v>
      </c>
      <c r="AO34" s="178" t="s">
        <v>263</v>
      </c>
      <c r="AP34" s="178" t="s">
        <v>263</v>
      </c>
      <c r="AQ34" s="178" t="s">
        <v>263</v>
      </c>
      <c r="AR34" s="178" t="s">
        <v>263</v>
      </c>
      <c r="AS34" s="178" t="s">
        <v>263</v>
      </c>
      <c r="AT34" s="178" t="s">
        <v>263</v>
      </c>
      <c r="AU34" s="178" t="s">
        <v>263</v>
      </c>
      <c r="AV34" s="178" t="s">
        <v>263</v>
      </c>
      <c r="AW34" s="208" t="s">
        <v>530</v>
      </c>
      <c r="AX34" s="189" t="s">
        <v>531</v>
      </c>
      <c r="AY34" s="189" t="s">
        <v>532</v>
      </c>
    </row>
    <row r="35" spans="1:51" ht="15.5" customHeight="1" x14ac:dyDescent="0.2">
      <c r="A35" s="175" t="s">
        <v>30</v>
      </c>
      <c r="B35" s="175">
        <v>775</v>
      </c>
      <c r="D35" s="189" t="s">
        <v>533</v>
      </c>
      <c r="E35" s="176" t="s">
        <v>534</v>
      </c>
      <c r="F35" s="189" t="s">
        <v>535</v>
      </c>
      <c r="G35" s="189" t="s">
        <v>536</v>
      </c>
      <c r="H35" s="189" t="s">
        <v>537</v>
      </c>
      <c r="I35" s="189" t="s">
        <v>255</v>
      </c>
      <c r="J35" s="189" t="s">
        <v>538</v>
      </c>
      <c r="K35" s="189" t="s">
        <v>148</v>
      </c>
      <c r="L35" s="189" t="s">
        <v>149</v>
      </c>
      <c r="M35" s="176" t="s">
        <v>263</v>
      </c>
      <c r="N35" s="189">
        <v>2357</v>
      </c>
      <c r="O35" s="189" t="s">
        <v>539</v>
      </c>
      <c r="P35" s="190" t="s">
        <v>540</v>
      </c>
      <c r="Q35" s="190" t="s">
        <v>541</v>
      </c>
      <c r="R35" s="176" t="s">
        <v>542</v>
      </c>
      <c r="S35" s="204" t="s">
        <v>543</v>
      </c>
      <c r="W35" s="189">
        <v>667</v>
      </c>
      <c r="X35" s="176">
        <v>1195</v>
      </c>
      <c r="Y35" s="176" t="s">
        <v>107</v>
      </c>
      <c r="Z35" s="176" t="s">
        <v>445</v>
      </c>
      <c r="AA35" s="178">
        <v>60</v>
      </c>
      <c r="AB35" s="178">
        <v>78</v>
      </c>
      <c r="AC35" s="178">
        <v>195</v>
      </c>
      <c r="AD35" s="178">
        <v>106</v>
      </c>
      <c r="AE35" s="178">
        <v>65</v>
      </c>
      <c r="AF35" s="178">
        <v>67</v>
      </c>
      <c r="AG35" s="178">
        <v>90</v>
      </c>
      <c r="AH35" s="178">
        <v>78</v>
      </c>
      <c r="AI35" s="178">
        <v>67</v>
      </c>
      <c r="AJ35" s="178">
        <v>88</v>
      </c>
      <c r="AK35" s="178">
        <v>124</v>
      </c>
      <c r="AL35" s="178" t="s">
        <v>263</v>
      </c>
      <c r="AM35" s="178" t="s">
        <v>263</v>
      </c>
      <c r="AN35" s="178" t="s">
        <v>263</v>
      </c>
      <c r="AO35" s="178" t="s">
        <v>263</v>
      </c>
      <c r="AP35" s="178" t="s">
        <v>263</v>
      </c>
      <c r="AQ35" s="178" t="s">
        <v>263</v>
      </c>
      <c r="AR35" s="178" t="s">
        <v>263</v>
      </c>
      <c r="AS35" s="178" t="s">
        <v>263</v>
      </c>
      <c r="AT35" s="178" t="s">
        <v>263</v>
      </c>
      <c r="AU35" s="178" t="s">
        <v>263</v>
      </c>
      <c r="AV35" s="178" t="s">
        <v>263</v>
      </c>
      <c r="AW35" s="208" t="s">
        <v>544</v>
      </c>
      <c r="AX35" s="176" t="s">
        <v>263</v>
      </c>
      <c r="AY35" s="189" t="s">
        <v>545</v>
      </c>
    </row>
    <row r="36" spans="1:51" ht="15.5" customHeight="1" x14ac:dyDescent="0.2">
      <c r="A36" s="175" t="s">
        <v>31</v>
      </c>
      <c r="B36" s="175">
        <v>775</v>
      </c>
      <c r="D36" s="176" t="s">
        <v>533</v>
      </c>
      <c r="E36" s="176" t="s">
        <v>546</v>
      </c>
      <c r="F36" s="176" t="s">
        <v>547</v>
      </c>
      <c r="G36" s="176" t="s">
        <v>548</v>
      </c>
      <c r="H36" s="176" t="s">
        <v>549</v>
      </c>
      <c r="I36" s="176" t="s">
        <v>255</v>
      </c>
      <c r="J36" s="176" t="s">
        <v>550</v>
      </c>
      <c r="K36" s="201" t="s">
        <v>178</v>
      </c>
      <c r="L36" s="201" t="s">
        <v>179</v>
      </c>
      <c r="M36" s="176" t="s">
        <v>288</v>
      </c>
      <c r="N36" s="176">
        <v>203</v>
      </c>
      <c r="O36" s="189" t="s">
        <v>551</v>
      </c>
      <c r="P36" s="177" t="s">
        <v>552</v>
      </c>
      <c r="Q36" s="177" t="s">
        <v>553</v>
      </c>
      <c r="R36" s="204" t="s">
        <v>554</v>
      </c>
      <c r="T36" s="189" t="s">
        <v>555</v>
      </c>
      <c r="U36" s="176">
        <v>240</v>
      </c>
      <c r="W36" s="176">
        <v>605</v>
      </c>
      <c r="X36" s="176">
        <v>1014</v>
      </c>
      <c r="Y36" s="214" t="s">
        <v>105</v>
      </c>
      <c r="Z36" s="176" t="s">
        <v>278</v>
      </c>
      <c r="AA36" s="178">
        <v>33.4</v>
      </c>
      <c r="AB36" s="213">
        <v>26</v>
      </c>
      <c r="AC36" s="178">
        <v>32.6</v>
      </c>
      <c r="AD36" s="178">
        <v>35.1</v>
      </c>
      <c r="AE36" s="178">
        <v>32.6</v>
      </c>
      <c r="AF36" s="178">
        <v>39</v>
      </c>
      <c r="AG36" s="178">
        <v>34.4</v>
      </c>
      <c r="AH36" s="178">
        <v>43.5</v>
      </c>
      <c r="AI36" s="178">
        <v>33.6</v>
      </c>
      <c r="AJ36" s="178">
        <v>42.3</v>
      </c>
      <c r="AK36" s="178">
        <v>24.5</v>
      </c>
      <c r="AL36" s="178" t="s">
        <v>263</v>
      </c>
      <c r="AM36" s="178" t="s">
        <v>263</v>
      </c>
      <c r="AN36" s="178" t="s">
        <v>263</v>
      </c>
      <c r="AO36" s="178" t="s">
        <v>263</v>
      </c>
      <c r="AP36" s="178" t="s">
        <v>263</v>
      </c>
      <c r="AQ36" s="178" t="s">
        <v>263</v>
      </c>
      <c r="AR36" s="178" t="s">
        <v>263</v>
      </c>
      <c r="AS36" s="178" t="s">
        <v>263</v>
      </c>
      <c r="AT36" s="178" t="s">
        <v>263</v>
      </c>
      <c r="AU36" s="178" t="s">
        <v>263</v>
      </c>
      <c r="AV36" s="178" t="s">
        <v>263</v>
      </c>
      <c r="AW36" s="204" t="s">
        <v>556</v>
      </c>
      <c r="AX36" s="176" t="s">
        <v>557</v>
      </c>
      <c r="AY36" s="176" t="s">
        <v>263</v>
      </c>
    </row>
    <row r="37" spans="1:51" ht="15.5" customHeight="1" x14ac:dyDescent="0.2">
      <c r="A37" s="175" t="s">
        <v>32</v>
      </c>
      <c r="B37" s="175">
        <v>775</v>
      </c>
      <c r="D37" s="189" t="s">
        <v>533</v>
      </c>
      <c r="E37" s="176" t="s">
        <v>546</v>
      </c>
      <c r="F37" s="189" t="s">
        <v>558</v>
      </c>
      <c r="G37" s="189" t="s">
        <v>559</v>
      </c>
      <c r="H37" s="189" t="s">
        <v>549</v>
      </c>
      <c r="I37" s="189" t="s">
        <v>255</v>
      </c>
      <c r="J37" s="189" t="s">
        <v>550</v>
      </c>
      <c r="K37" s="189" t="s">
        <v>168</v>
      </c>
      <c r="L37" s="189" t="s">
        <v>169</v>
      </c>
      <c r="M37" s="176" t="s">
        <v>288</v>
      </c>
      <c r="N37" s="176">
        <v>425</v>
      </c>
      <c r="O37" s="189" t="s">
        <v>551</v>
      </c>
      <c r="P37" s="190" t="s">
        <v>552</v>
      </c>
      <c r="Q37" s="190" t="s">
        <v>553</v>
      </c>
      <c r="R37" s="199" t="s">
        <v>560</v>
      </c>
      <c r="T37" s="189" t="s">
        <v>555</v>
      </c>
      <c r="U37" s="189">
        <v>404</v>
      </c>
      <c r="V37" s="189"/>
      <c r="W37" s="189">
        <v>744</v>
      </c>
      <c r="X37" s="176">
        <v>983</v>
      </c>
      <c r="Y37" s="187" t="s">
        <v>106</v>
      </c>
      <c r="Z37" s="176" t="s">
        <v>278</v>
      </c>
      <c r="AA37" s="178">
        <v>79.599999999999994</v>
      </c>
      <c r="AB37" s="207">
        <v>76.2</v>
      </c>
      <c r="AC37" s="178">
        <v>86.8</v>
      </c>
      <c r="AD37" s="178">
        <v>80.900000000000006</v>
      </c>
      <c r="AE37" s="178">
        <v>103.2</v>
      </c>
      <c r="AF37" s="178">
        <v>88.6</v>
      </c>
      <c r="AG37" s="178">
        <v>65.3</v>
      </c>
      <c r="AH37" s="178">
        <v>155.19999999999999</v>
      </c>
      <c r="AI37" s="178">
        <v>142.9</v>
      </c>
      <c r="AJ37" s="178">
        <v>96.4</v>
      </c>
      <c r="AK37" s="178">
        <v>30.9</v>
      </c>
      <c r="AL37" s="178" t="s">
        <v>263</v>
      </c>
      <c r="AM37" s="178" t="s">
        <v>263</v>
      </c>
      <c r="AN37" s="178" t="s">
        <v>263</v>
      </c>
      <c r="AO37" s="178" t="s">
        <v>263</v>
      </c>
      <c r="AP37" s="178" t="s">
        <v>263</v>
      </c>
      <c r="AQ37" s="178" t="s">
        <v>263</v>
      </c>
      <c r="AR37" s="178" t="s">
        <v>263</v>
      </c>
      <c r="AS37" s="178" t="s">
        <v>263</v>
      </c>
      <c r="AT37" s="178" t="s">
        <v>263</v>
      </c>
      <c r="AU37" s="178" t="s">
        <v>263</v>
      </c>
      <c r="AV37" s="178" t="s">
        <v>263</v>
      </c>
      <c r="AW37" s="204" t="s">
        <v>561</v>
      </c>
      <c r="AX37" s="176" t="s">
        <v>557</v>
      </c>
      <c r="AY37" s="176" t="s">
        <v>263</v>
      </c>
    </row>
    <row r="38" spans="1:51" ht="15.5" customHeight="1" x14ac:dyDescent="0.2">
      <c r="A38" s="175" t="s">
        <v>33</v>
      </c>
      <c r="B38" s="175">
        <v>775</v>
      </c>
      <c r="D38" s="176" t="s">
        <v>533</v>
      </c>
      <c r="E38" s="176" t="s">
        <v>562</v>
      </c>
      <c r="F38" s="176" t="s">
        <v>563</v>
      </c>
      <c r="G38" s="176" t="s">
        <v>564</v>
      </c>
      <c r="H38" s="176" t="s">
        <v>565</v>
      </c>
      <c r="I38" s="176" t="s">
        <v>255</v>
      </c>
      <c r="J38" s="176" t="s">
        <v>566</v>
      </c>
      <c r="K38" s="176" t="s">
        <v>567</v>
      </c>
      <c r="L38" s="176" t="s">
        <v>568</v>
      </c>
      <c r="M38" s="176" t="s">
        <v>569</v>
      </c>
      <c r="N38" s="176">
        <v>1500</v>
      </c>
      <c r="O38" s="176" t="s">
        <v>570</v>
      </c>
      <c r="P38" s="177" t="s">
        <v>259</v>
      </c>
      <c r="Q38" s="177" t="s">
        <v>571</v>
      </c>
      <c r="R38" s="199" t="s">
        <v>572</v>
      </c>
      <c r="W38" s="176">
        <v>633</v>
      </c>
      <c r="X38" s="176">
        <v>1221</v>
      </c>
      <c r="Y38" s="187" t="s">
        <v>106</v>
      </c>
      <c r="Z38" s="176" t="s">
        <v>262</v>
      </c>
      <c r="AA38" s="178" t="s">
        <v>263</v>
      </c>
      <c r="AB38" s="178" t="s">
        <v>263</v>
      </c>
      <c r="AC38" s="178" t="s">
        <v>263</v>
      </c>
      <c r="AD38" s="178" t="s">
        <v>263</v>
      </c>
      <c r="AE38" s="178" t="s">
        <v>263</v>
      </c>
      <c r="AF38" s="178" t="s">
        <v>263</v>
      </c>
      <c r="AG38" s="178" t="s">
        <v>263</v>
      </c>
      <c r="AH38" s="178" t="s">
        <v>263</v>
      </c>
      <c r="AI38" s="178" t="s">
        <v>263</v>
      </c>
      <c r="AJ38" s="178" t="s">
        <v>263</v>
      </c>
      <c r="AK38" s="178" t="s">
        <v>263</v>
      </c>
      <c r="AL38" s="178" t="s">
        <v>263</v>
      </c>
      <c r="AM38" s="178" t="s">
        <v>263</v>
      </c>
      <c r="AN38" s="178" t="s">
        <v>263</v>
      </c>
      <c r="AO38" s="178" t="s">
        <v>263</v>
      </c>
      <c r="AP38" s="178" t="s">
        <v>263</v>
      </c>
      <c r="AQ38" s="178" t="s">
        <v>263</v>
      </c>
      <c r="AR38" s="178" t="s">
        <v>263</v>
      </c>
      <c r="AS38" s="178" t="s">
        <v>263</v>
      </c>
      <c r="AT38" s="178" t="s">
        <v>263</v>
      </c>
      <c r="AU38" s="178" t="s">
        <v>263</v>
      </c>
      <c r="AV38" s="178" t="s">
        <v>263</v>
      </c>
      <c r="AW38" s="176" t="s">
        <v>263</v>
      </c>
      <c r="AX38" s="176" t="s">
        <v>263</v>
      </c>
      <c r="AY38" s="176" t="s">
        <v>263</v>
      </c>
    </row>
    <row r="39" spans="1:51" ht="15.5" customHeight="1" x14ac:dyDescent="0.2">
      <c r="A39" s="175" t="s">
        <v>34</v>
      </c>
      <c r="B39" s="175">
        <v>775</v>
      </c>
      <c r="D39" s="176" t="s">
        <v>533</v>
      </c>
      <c r="E39" s="176" t="s">
        <v>573</v>
      </c>
      <c r="F39" s="176" t="s">
        <v>574</v>
      </c>
      <c r="H39" s="212" t="s">
        <v>480</v>
      </c>
      <c r="K39" s="176" t="s">
        <v>146</v>
      </c>
      <c r="L39" s="176" t="s">
        <v>147</v>
      </c>
      <c r="N39" s="176">
        <v>3539</v>
      </c>
      <c r="P39" s="177" t="s">
        <v>259</v>
      </c>
      <c r="Q39" s="177" t="s">
        <v>575</v>
      </c>
      <c r="Y39" s="176" t="s">
        <v>107</v>
      </c>
      <c r="AA39" s="178" t="s">
        <v>263</v>
      </c>
      <c r="AB39" s="178" t="s">
        <v>263</v>
      </c>
      <c r="AC39" s="178" t="s">
        <v>263</v>
      </c>
      <c r="AD39" s="178" t="s">
        <v>263</v>
      </c>
      <c r="AE39" s="178" t="s">
        <v>263</v>
      </c>
      <c r="AF39" s="178" t="s">
        <v>263</v>
      </c>
      <c r="AG39" s="178" t="s">
        <v>263</v>
      </c>
      <c r="AH39" s="178" t="s">
        <v>263</v>
      </c>
      <c r="AI39" s="178" t="s">
        <v>263</v>
      </c>
      <c r="AJ39" s="178" t="s">
        <v>263</v>
      </c>
      <c r="AK39" s="178" t="s">
        <v>263</v>
      </c>
      <c r="AL39" s="178" t="s">
        <v>263</v>
      </c>
      <c r="AM39" s="178" t="s">
        <v>263</v>
      </c>
      <c r="AN39" s="178" t="s">
        <v>263</v>
      </c>
      <c r="AO39" s="178" t="s">
        <v>263</v>
      </c>
      <c r="AP39" s="178" t="s">
        <v>263</v>
      </c>
      <c r="AQ39" s="178" t="s">
        <v>263</v>
      </c>
      <c r="AR39" s="178" t="s">
        <v>263</v>
      </c>
      <c r="AS39" s="178" t="s">
        <v>263</v>
      </c>
      <c r="AT39" s="178" t="s">
        <v>263</v>
      </c>
      <c r="AU39" s="178" t="s">
        <v>263</v>
      </c>
      <c r="AV39" s="178" t="s">
        <v>263</v>
      </c>
      <c r="AW39" s="176" t="s">
        <v>263</v>
      </c>
    </row>
    <row r="40" spans="1:51" ht="15.5" customHeight="1" x14ac:dyDescent="0.2">
      <c r="A40" s="175" t="s">
        <v>11</v>
      </c>
      <c r="B40" s="175">
        <v>994</v>
      </c>
      <c r="D40" s="189" t="s">
        <v>266</v>
      </c>
      <c r="E40" s="189" t="s">
        <v>576</v>
      </c>
      <c r="F40" s="189" t="s">
        <v>268</v>
      </c>
      <c r="G40" s="189" t="s">
        <v>577</v>
      </c>
      <c r="H40" s="189" t="s">
        <v>270</v>
      </c>
      <c r="I40" s="189" t="s">
        <v>271</v>
      </c>
      <c r="J40" s="189" t="s">
        <v>272</v>
      </c>
      <c r="K40" s="189" t="s">
        <v>209</v>
      </c>
      <c r="L40" s="189" t="s">
        <v>210</v>
      </c>
      <c r="M40" s="189" t="s">
        <v>273</v>
      </c>
      <c r="N40" s="189">
        <v>2300</v>
      </c>
      <c r="P40" s="190" t="s">
        <v>274</v>
      </c>
      <c r="Q40" s="190" t="s">
        <v>275</v>
      </c>
      <c r="S40" s="176" t="s">
        <v>277</v>
      </c>
      <c r="W40" s="189"/>
      <c r="Y40" s="187" t="s">
        <v>105</v>
      </c>
      <c r="Z40" s="176" t="s">
        <v>278</v>
      </c>
      <c r="AA40" s="178" t="s">
        <v>263</v>
      </c>
      <c r="AB40" s="178" t="s">
        <v>263</v>
      </c>
      <c r="AC40" s="178" t="s">
        <v>263</v>
      </c>
      <c r="AD40" s="178" t="s">
        <v>263</v>
      </c>
      <c r="AE40" s="178" t="s">
        <v>263</v>
      </c>
      <c r="AF40" s="178" t="s">
        <v>263</v>
      </c>
      <c r="AG40" s="178" t="s">
        <v>263</v>
      </c>
      <c r="AH40" s="178" t="s">
        <v>263</v>
      </c>
      <c r="AI40" s="178" t="s">
        <v>263</v>
      </c>
      <c r="AJ40" s="178" t="s">
        <v>263</v>
      </c>
      <c r="AK40" s="178" t="s">
        <v>263</v>
      </c>
      <c r="AL40" s="178">
        <v>31</v>
      </c>
      <c r="AM40" s="178">
        <v>30</v>
      </c>
      <c r="AN40" s="178">
        <v>38</v>
      </c>
      <c r="AO40" s="178">
        <v>34</v>
      </c>
      <c r="AP40" s="178">
        <v>47</v>
      </c>
      <c r="AQ40" s="178">
        <v>49</v>
      </c>
      <c r="AR40" s="178">
        <v>50</v>
      </c>
      <c r="AS40" s="178">
        <v>48</v>
      </c>
      <c r="AT40" s="178">
        <v>39</v>
      </c>
      <c r="AU40" s="178">
        <v>21</v>
      </c>
      <c r="AV40" s="178">
        <v>23</v>
      </c>
      <c r="AW40" s="176" t="s">
        <v>279</v>
      </c>
      <c r="AX40" s="176" t="s">
        <v>280</v>
      </c>
      <c r="AY40" s="189" t="s">
        <v>578</v>
      </c>
    </row>
    <row r="41" spans="1:51" ht="15.5" customHeight="1" x14ac:dyDescent="0.2">
      <c r="A41" s="175" t="s">
        <v>9</v>
      </c>
      <c r="B41" s="175">
        <v>994</v>
      </c>
      <c r="D41" s="176" t="s">
        <v>306</v>
      </c>
      <c r="E41" s="176" t="s">
        <v>307</v>
      </c>
      <c r="F41" s="176" t="s">
        <v>308</v>
      </c>
      <c r="G41" s="176" t="s">
        <v>309</v>
      </c>
      <c r="H41" s="176" t="s">
        <v>310</v>
      </c>
      <c r="I41" s="176" t="s">
        <v>255</v>
      </c>
      <c r="J41" s="176" t="s">
        <v>311</v>
      </c>
      <c r="K41" s="176" t="s">
        <v>144</v>
      </c>
      <c r="L41" s="176" t="s">
        <v>145</v>
      </c>
      <c r="M41" s="176" t="s">
        <v>312</v>
      </c>
      <c r="N41" s="176">
        <v>4019</v>
      </c>
      <c r="O41" s="176" t="s">
        <v>313</v>
      </c>
      <c r="P41" s="177" t="s">
        <v>314</v>
      </c>
      <c r="Q41" s="177" t="s">
        <v>315</v>
      </c>
      <c r="R41" s="208" t="s">
        <v>316</v>
      </c>
      <c r="S41" s="204" t="s">
        <v>317</v>
      </c>
      <c r="T41" s="176">
        <v>1472</v>
      </c>
      <c r="U41" s="176">
        <v>1472</v>
      </c>
      <c r="W41" s="176">
        <v>-173</v>
      </c>
      <c r="X41" s="176">
        <v>1298</v>
      </c>
      <c r="Y41" s="176" t="s">
        <v>107</v>
      </c>
      <c r="Z41" s="176" t="s">
        <v>278</v>
      </c>
      <c r="AA41" s="178" t="s">
        <v>263</v>
      </c>
      <c r="AB41" s="178" t="s">
        <v>263</v>
      </c>
      <c r="AC41" s="178" t="s">
        <v>263</v>
      </c>
      <c r="AD41" s="178" t="s">
        <v>263</v>
      </c>
      <c r="AE41" s="178" t="s">
        <v>263</v>
      </c>
      <c r="AF41" s="178" t="s">
        <v>263</v>
      </c>
      <c r="AG41" s="178" t="s">
        <v>263</v>
      </c>
      <c r="AH41" s="178" t="s">
        <v>263</v>
      </c>
      <c r="AI41" s="178" t="s">
        <v>263</v>
      </c>
      <c r="AJ41" s="178" t="s">
        <v>263</v>
      </c>
      <c r="AK41" s="178" t="s">
        <v>263</v>
      </c>
      <c r="AL41" s="178">
        <v>28</v>
      </c>
      <c r="AM41" s="178">
        <v>26</v>
      </c>
      <c r="AN41" s="178">
        <v>35</v>
      </c>
      <c r="AO41" s="178">
        <v>42</v>
      </c>
      <c r="AP41" s="178">
        <v>40</v>
      </c>
      <c r="AQ41" s="178">
        <v>28</v>
      </c>
      <c r="AR41" s="178">
        <v>42</v>
      </c>
      <c r="AS41" s="178">
        <v>32</v>
      </c>
      <c r="AT41" s="178">
        <v>40</v>
      </c>
      <c r="AU41" s="178">
        <v>35</v>
      </c>
      <c r="AV41" s="178">
        <v>34</v>
      </c>
      <c r="AW41" s="208" t="s">
        <v>318</v>
      </c>
      <c r="AX41" s="176" t="s">
        <v>319</v>
      </c>
      <c r="AY41" s="209" t="s">
        <v>320</v>
      </c>
    </row>
    <row r="42" spans="1:51" ht="15.5" customHeight="1" x14ac:dyDescent="0.2">
      <c r="A42" s="175" t="s">
        <v>5</v>
      </c>
      <c r="B42" s="175">
        <v>994</v>
      </c>
      <c r="D42" s="189" t="s">
        <v>321</v>
      </c>
      <c r="E42" s="189" t="s">
        <v>322</v>
      </c>
      <c r="F42" s="176" t="s">
        <v>323</v>
      </c>
      <c r="G42" s="189" t="s">
        <v>324</v>
      </c>
      <c r="H42" s="189" t="s">
        <v>325</v>
      </c>
      <c r="I42" s="189" t="s">
        <v>255</v>
      </c>
      <c r="J42" s="189" t="s">
        <v>326</v>
      </c>
      <c r="K42" s="189" t="s">
        <v>134</v>
      </c>
      <c r="L42" s="189" t="s">
        <v>135</v>
      </c>
      <c r="M42" s="201"/>
      <c r="N42" s="189">
        <v>40</v>
      </c>
      <c r="P42" s="190" t="s">
        <v>327</v>
      </c>
      <c r="Q42" s="190" t="s">
        <v>328</v>
      </c>
      <c r="R42" s="176" t="s">
        <v>329</v>
      </c>
      <c r="U42" s="176">
        <v>517</v>
      </c>
      <c r="W42" s="189">
        <v>612</v>
      </c>
      <c r="X42" s="176">
        <v>1100</v>
      </c>
      <c r="Y42" s="199" t="s">
        <v>108</v>
      </c>
      <c r="Z42" s="176" t="s">
        <v>262</v>
      </c>
      <c r="AA42" s="178" t="s">
        <v>263</v>
      </c>
      <c r="AB42" s="178" t="s">
        <v>263</v>
      </c>
      <c r="AC42" s="178" t="s">
        <v>263</v>
      </c>
      <c r="AD42" s="178" t="s">
        <v>263</v>
      </c>
      <c r="AE42" s="178" t="s">
        <v>263</v>
      </c>
      <c r="AF42" s="178" t="s">
        <v>263</v>
      </c>
      <c r="AG42" s="178" t="s">
        <v>263</v>
      </c>
      <c r="AH42" s="178" t="s">
        <v>263</v>
      </c>
      <c r="AI42" s="178" t="s">
        <v>263</v>
      </c>
      <c r="AJ42" s="178" t="s">
        <v>263</v>
      </c>
      <c r="AK42" s="178" t="s">
        <v>263</v>
      </c>
      <c r="AL42" s="178">
        <v>84</v>
      </c>
      <c r="AM42" s="178">
        <v>88</v>
      </c>
      <c r="AN42" s="178">
        <v>111</v>
      </c>
      <c r="AO42" s="178">
        <v>101</v>
      </c>
      <c r="AP42" s="178">
        <v>99</v>
      </c>
      <c r="AQ42" s="178">
        <v>114</v>
      </c>
      <c r="AR42" s="178">
        <v>64</v>
      </c>
      <c r="AS42" s="178">
        <v>69</v>
      </c>
      <c r="AT42" s="178">
        <v>90</v>
      </c>
      <c r="AU42" s="178">
        <v>73</v>
      </c>
      <c r="AV42" s="178">
        <v>88</v>
      </c>
      <c r="AW42" s="176" t="s">
        <v>330</v>
      </c>
      <c r="AX42" s="176" t="s">
        <v>331</v>
      </c>
      <c r="AY42" s="189" t="s">
        <v>263</v>
      </c>
    </row>
    <row r="43" spans="1:51" ht="15.5" customHeight="1" x14ac:dyDescent="0.2">
      <c r="A43" s="175" t="s">
        <v>579</v>
      </c>
      <c r="B43" s="175">
        <v>994</v>
      </c>
      <c r="D43" s="189" t="s">
        <v>580</v>
      </c>
      <c r="E43" s="189" t="s">
        <v>581</v>
      </c>
      <c r="F43" s="189" t="s">
        <v>581</v>
      </c>
      <c r="G43" s="189" t="s">
        <v>582</v>
      </c>
      <c r="H43" s="189" t="s">
        <v>583</v>
      </c>
      <c r="I43" s="189" t="s">
        <v>584</v>
      </c>
      <c r="J43" s="189" t="s">
        <v>526</v>
      </c>
      <c r="K43" s="176" t="s">
        <v>585</v>
      </c>
      <c r="L43" s="176" t="s">
        <v>586</v>
      </c>
      <c r="M43" s="189" t="s">
        <v>587</v>
      </c>
      <c r="N43" s="189" t="s">
        <v>588</v>
      </c>
      <c r="O43" s="189" t="s">
        <v>589</v>
      </c>
      <c r="P43" s="190" t="s">
        <v>259</v>
      </c>
      <c r="Q43" s="190" t="s">
        <v>491</v>
      </c>
      <c r="R43" s="176" t="s">
        <v>590</v>
      </c>
      <c r="T43" s="189" t="s">
        <v>591</v>
      </c>
      <c r="U43" s="189">
        <v>11</v>
      </c>
      <c r="V43" s="189"/>
      <c r="W43" s="189">
        <v>990</v>
      </c>
      <c r="X43" s="189">
        <v>1000</v>
      </c>
      <c r="Y43" s="187" t="s">
        <v>105</v>
      </c>
      <c r="Z43" s="176" t="s">
        <v>278</v>
      </c>
      <c r="AA43" s="178" t="s">
        <v>263</v>
      </c>
      <c r="AB43" s="178" t="s">
        <v>263</v>
      </c>
      <c r="AC43" s="178" t="s">
        <v>263</v>
      </c>
      <c r="AD43" s="178" t="s">
        <v>263</v>
      </c>
      <c r="AE43" s="178" t="s">
        <v>263</v>
      </c>
      <c r="AF43" s="178" t="s">
        <v>263</v>
      </c>
      <c r="AG43" s="178" t="s">
        <v>263</v>
      </c>
      <c r="AH43" s="178" t="s">
        <v>263</v>
      </c>
      <c r="AI43" s="178" t="s">
        <v>263</v>
      </c>
      <c r="AJ43" s="178" t="s">
        <v>263</v>
      </c>
      <c r="AK43" s="178" t="s">
        <v>263</v>
      </c>
      <c r="AL43" s="178">
        <v>65.8</v>
      </c>
      <c r="AM43" s="178">
        <v>52.333329999999997</v>
      </c>
      <c r="AN43" s="178">
        <v>49.666670000000003</v>
      </c>
      <c r="AO43" s="178">
        <v>30.6</v>
      </c>
      <c r="AP43" s="178">
        <v>56.633330000000001</v>
      </c>
      <c r="AQ43" s="178">
        <v>50.5</v>
      </c>
      <c r="AR43" s="178">
        <v>45.1</v>
      </c>
      <c r="AS43" s="178">
        <v>48.133330000000001</v>
      </c>
      <c r="AT43" s="178">
        <v>58.266669999999998</v>
      </c>
      <c r="AU43" s="178">
        <v>51.666670000000003</v>
      </c>
      <c r="AV43" s="178">
        <v>59.533329999999999</v>
      </c>
      <c r="AW43" s="208" t="s">
        <v>530</v>
      </c>
      <c r="AX43" s="189" t="s">
        <v>592</v>
      </c>
      <c r="AY43" s="189" t="s">
        <v>593</v>
      </c>
    </row>
    <row r="44" spans="1:51" ht="15.5" customHeight="1" x14ac:dyDescent="0.2">
      <c r="A44" s="175" t="s">
        <v>594</v>
      </c>
      <c r="B44" s="175">
        <v>994</v>
      </c>
      <c r="D44" s="189" t="s">
        <v>486</v>
      </c>
      <c r="E44" s="189" t="s">
        <v>595</v>
      </c>
      <c r="F44" s="189" t="s">
        <v>497</v>
      </c>
      <c r="G44" s="189"/>
      <c r="H44" s="189" t="s">
        <v>499</v>
      </c>
      <c r="I44" s="189" t="s">
        <v>584</v>
      </c>
      <c r="J44" s="189" t="s">
        <v>526</v>
      </c>
      <c r="K44" s="176" t="s">
        <v>194</v>
      </c>
      <c r="L44" s="176" t="s">
        <v>195</v>
      </c>
      <c r="M44" s="189" t="s">
        <v>587</v>
      </c>
      <c r="N44" s="189">
        <v>650</v>
      </c>
      <c r="O44" s="189" t="s">
        <v>596</v>
      </c>
      <c r="P44" s="190" t="s">
        <v>259</v>
      </c>
      <c r="Q44" s="190" t="s">
        <v>491</v>
      </c>
      <c r="T44" s="189" t="s">
        <v>591</v>
      </c>
      <c r="U44" s="189">
        <v>11</v>
      </c>
      <c r="V44" s="189"/>
      <c r="W44" s="189">
        <v>990</v>
      </c>
      <c r="X44" s="189">
        <v>1000</v>
      </c>
      <c r="Y44" s="187" t="s">
        <v>105</v>
      </c>
      <c r="Z44" s="176" t="s">
        <v>278</v>
      </c>
      <c r="AA44" s="178" t="s">
        <v>263</v>
      </c>
      <c r="AB44" s="178" t="s">
        <v>263</v>
      </c>
      <c r="AC44" s="178" t="s">
        <v>263</v>
      </c>
      <c r="AD44" s="178" t="s">
        <v>263</v>
      </c>
      <c r="AE44" s="178" t="s">
        <v>263</v>
      </c>
      <c r="AF44" s="178" t="s">
        <v>263</v>
      </c>
      <c r="AG44" s="178" t="s">
        <v>263</v>
      </c>
      <c r="AH44" s="178" t="s">
        <v>263</v>
      </c>
      <c r="AI44" s="178" t="s">
        <v>263</v>
      </c>
      <c r="AJ44" s="178" t="s">
        <v>263</v>
      </c>
      <c r="AK44" s="178" t="s">
        <v>263</v>
      </c>
      <c r="AL44" s="178">
        <v>63</v>
      </c>
      <c r="AM44" s="178">
        <v>47</v>
      </c>
      <c r="AN44" s="178">
        <v>45</v>
      </c>
      <c r="AO44" s="178">
        <v>48</v>
      </c>
      <c r="AP44" s="178">
        <v>50</v>
      </c>
      <c r="AQ44" s="178">
        <v>39</v>
      </c>
      <c r="AR44" s="178">
        <v>47</v>
      </c>
      <c r="AS44" s="178">
        <v>37</v>
      </c>
      <c r="AT44" s="178">
        <v>42</v>
      </c>
      <c r="AU44" s="178">
        <v>43</v>
      </c>
      <c r="AV44" s="178">
        <v>40</v>
      </c>
      <c r="AW44" s="176" t="s">
        <v>263</v>
      </c>
      <c r="AX44" s="189" t="s">
        <v>597</v>
      </c>
      <c r="AY44" s="189" t="s">
        <v>598</v>
      </c>
    </row>
    <row r="45" spans="1:51" ht="15.5" customHeight="1" x14ac:dyDescent="0.2">
      <c r="A45" s="175" t="s">
        <v>10</v>
      </c>
      <c r="B45" s="175">
        <v>994</v>
      </c>
      <c r="D45" s="176" t="s">
        <v>391</v>
      </c>
      <c r="G45" s="176" t="s">
        <v>599</v>
      </c>
      <c r="H45" s="176" t="s">
        <v>395</v>
      </c>
      <c r="I45" s="176" t="s">
        <v>255</v>
      </c>
      <c r="J45" s="176" t="s">
        <v>396</v>
      </c>
      <c r="K45" s="176" t="s">
        <v>156</v>
      </c>
      <c r="L45" s="176" t="s">
        <v>157</v>
      </c>
      <c r="N45" s="176">
        <v>2100</v>
      </c>
      <c r="P45" s="177" t="s">
        <v>274</v>
      </c>
      <c r="Q45" s="177" t="s">
        <v>275</v>
      </c>
      <c r="W45" s="176">
        <v>943</v>
      </c>
      <c r="X45" s="176">
        <v>1024</v>
      </c>
      <c r="Y45" s="187" t="s">
        <v>106</v>
      </c>
      <c r="Z45" s="176" t="s">
        <v>278</v>
      </c>
      <c r="AA45" s="178" t="s">
        <v>263</v>
      </c>
      <c r="AB45" s="178" t="s">
        <v>263</v>
      </c>
      <c r="AC45" s="178" t="s">
        <v>263</v>
      </c>
      <c r="AD45" s="178" t="s">
        <v>263</v>
      </c>
      <c r="AE45" s="178" t="s">
        <v>263</v>
      </c>
      <c r="AF45" s="178" t="s">
        <v>263</v>
      </c>
      <c r="AG45" s="178" t="s">
        <v>263</v>
      </c>
      <c r="AH45" s="178" t="s">
        <v>263</v>
      </c>
      <c r="AI45" s="178" t="s">
        <v>263</v>
      </c>
      <c r="AJ45" s="178" t="s">
        <v>263</v>
      </c>
      <c r="AK45" s="178" t="s">
        <v>263</v>
      </c>
      <c r="AL45" s="178">
        <v>63.7</v>
      </c>
      <c r="AM45" s="178">
        <v>43.3</v>
      </c>
      <c r="AN45" s="178">
        <v>75.400000000000006</v>
      </c>
      <c r="AO45" s="178">
        <v>83</v>
      </c>
      <c r="AP45" s="178">
        <v>55.7</v>
      </c>
      <c r="AQ45" s="178">
        <v>59.7</v>
      </c>
      <c r="AR45" s="178">
        <v>48.8</v>
      </c>
      <c r="AS45" s="178">
        <v>58.6</v>
      </c>
      <c r="AT45" s="178">
        <v>56.1</v>
      </c>
      <c r="AU45" s="178">
        <v>54.3</v>
      </c>
      <c r="AV45" s="178">
        <v>40</v>
      </c>
      <c r="AW45" s="176" t="s">
        <v>263</v>
      </c>
      <c r="AX45" s="176" t="s">
        <v>398</v>
      </c>
      <c r="AY45" s="176" t="s">
        <v>263</v>
      </c>
    </row>
    <row r="46" spans="1:51" ht="15.5" customHeight="1" x14ac:dyDescent="0.2">
      <c r="A46" s="175" t="s">
        <v>3</v>
      </c>
      <c r="B46" s="175">
        <v>994</v>
      </c>
      <c r="D46" s="189" t="s">
        <v>435</v>
      </c>
      <c r="E46" s="189" t="s">
        <v>446</v>
      </c>
      <c r="F46" s="176" t="s">
        <v>447</v>
      </c>
      <c r="G46" s="189" t="s">
        <v>448</v>
      </c>
      <c r="H46" s="189" t="s">
        <v>449</v>
      </c>
      <c r="I46" s="176" t="s">
        <v>440</v>
      </c>
      <c r="J46" s="189" t="s">
        <v>441</v>
      </c>
      <c r="K46" s="176" t="s">
        <v>138</v>
      </c>
      <c r="L46" s="176" t="s">
        <v>139</v>
      </c>
      <c r="M46" s="176" t="s">
        <v>263</v>
      </c>
      <c r="N46" s="201">
        <v>783</v>
      </c>
      <c r="O46" s="201" t="s">
        <v>450</v>
      </c>
      <c r="P46" s="203" t="s">
        <v>451</v>
      </c>
      <c r="Q46" s="203" t="s">
        <v>452</v>
      </c>
      <c r="R46" s="191"/>
      <c r="T46" s="176">
        <v>1454</v>
      </c>
      <c r="U46" s="202">
        <v>1454</v>
      </c>
      <c r="V46" s="201" t="s">
        <v>263</v>
      </c>
      <c r="W46" s="189">
        <v>465</v>
      </c>
      <c r="X46" s="201">
        <v>1918</v>
      </c>
      <c r="Y46" s="199" t="s">
        <v>108</v>
      </c>
      <c r="Z46" s="176" t="s">
        <v>278</v>
      </c>
      <c r="AA46" s="178" t="s">
        <v>263</v>
      </c>
      <c r="AB46" s="178" t="s">
        <v>263</v>
      </c>
      <c r="AC46" s="178" t="s">
        <v>263</v>
      </c>
      <c r="AD46" s="178" t="s">
        <v>263</v>
      </c>
      <c r="AE46" s="178" t="s">
        <v>263</v>
      </c>
      <c r="AF46" s="178" t="s">
        <v>263</v>
      </c>
      <c r="AG46" s="178" t="s">
        <v>263</v>
      </c>
      <c r="AH46" s="178" t="s">
        <v>263</v>
      </c>
      <c r="AI46" s="178" t="s">
        <v>263</v>
      </c>
      <c r="AJ46" s="178" t="s">
        <v>263</v>
      </c>
      <c r="AK46" s="178" t="s">
        <v>263</v>
      </c>
      <c r="AL46" s="178">
        <v>107.9</v>
      </c>
      <c r="AM46" s="178">
        <v>87.2</v>
      </c>
      <c r="AN46" s="178">
        <v>77.8</v>
      </c>
      <c r="AO46" s="178">
        <v>99.5</v>
      </c>
      <c r="AP46" s="178">
        <v>102.7</v>
      </c>
      <c r="AQ46" s="178">
        <v>99.3</v>
      </c>
      <c r="AR46" s="178">
        <v>67.3</v>
      </c>
      <c r="AS46" s="178">
        <v>79.099999999999994</v>
      </c>
      <c r="AT46" s="178">
        <v>74.599999999999994</v>
      </c>
      <c r="AU46" s="178">
        <v>66.400000000000006</v>
      </c>
      <c r="AV46" s="178">
        <v>78.8</v>
      </c>
      <c r="AW46" s="176" t="s">
        <v>263</v>
      </c>
      <c r="AX46" s="201" t="s">
        <v>453</v>
      </c>
      <c r="AY46" s="176" t="s">
        <v>263</v>
      </c>
    </row>
    <row r="47" spans="1:51" x14ac:dyDescent="0.2">
      <c r="A47" s="175" t="s">
        <v>522</v>
      </c>
      <c r="B47" s="175">
        <v>994</v>
      </c>
      <c r="C47" s="176" t="s">
        <v>600</v>
      </c>
      <c r="D47" s="189" t="s">
        <v>486</v>
      </c>
      <c r="E47" s="189" t="s">
        <v>487</v>
      </c>
      <c r="F47" s="189" t="s">
        <v>523</v>
      </c>
      <c r="G47" s="176" t="s">
        <v>601</v>
      </c>
      <c r="H47" s="189" t="s">
        <v>525</v>
      </c>
      <c r="I47" s="189" t="s">
        <v>602</v>
      </c>
      <c r="J47" s="189" t="s">
        <v>526</v>
      </c>
      <c r="K47" s="176" t="s">
        <v>190</v>
      </c>
      <c r="L47" s="176" t="s">
        <v>191</v>
      </c>
      <c r="M47" s="189" t="s">
        <v>527</v>
      </c>
      <c r="N47" s="189">
        <v>400</v>
      </c>
      <c r="O47" s="189" t="s">
        <v>528</v>
      </c>
      <c r="P47" s="190" t="s">
        <v>259</v>
      </c>
      <c r="Q47" s="190" t="s">
        <v>491</v>
      </c>
      <c r="R47" s="176" t="s">
        <v>590</v>
      </c>
      <c r="T47" s="189" t="s">
        <v>591</v>
      </c>
      <c r="U47" s="189">
        <v>11</v>
      </c>
      <c r="V47" s="189"/>
      <c r="W47" s="189">
        <v>990</v>
      </c>
      <c r="X47" s="189">
        <v>1000</v>
      </c>
      <c r="Y47" s="187" t="s">
        <v>105</v>
      </c>
      <c r="Z47" s="176" t="s">
        <v>278</v>
      </c>
      <c r="AA47" s="178" t="s">
        <v>263</v>
      </c>
      <c r="AB47" s="178" t="s">
        <v>263</v>
      </c>
      <c r="AC47" s="178" t="s">
        <v>263</v>
      </c>
      <c r="AD47" s="178" t="s">
        <v>263</v>
      </c>
      <c r="AE47" s="178" t="s">
        <v>263</v>
      </c>
      <c r="AF47" s="178" t="s">
        <v>263</v>
      </c>
      <c r="AG47" s="178" t="s">
        <v>263</v>
      </c>
      <c r="AH47" s="178" t="s">
        <v>263</v>
      </c>
      <c r="AI47" s="178" t="s">
        <v>263</v>
      </c>
      <c r="AJ47" s="178" t="s">
        <v>263</v>
      </c>
      <c r="AK47" s="178" t="s">
        <v>263</v>
      </c>
      <c r="AL47" s="178">
        <v>121.66670000000001</v>
      </c>
      <c r="AM47" s="178">
        <v>94.166669999999996</v>
      </c>
      <c r="AN47" s="178">
        <v>106.33329999999999</v>
      </c>
      <c r="AO47" s="178">
        <v>91.833330000000004</v>
      </c>
      <c r="AP47" s="178">
        <v>110.16670000000001</v>
      </c>
      <c r="AQ47" s="178">
        <v>117.08329999999999</v>
      </c>
      <c r="AR47" s="178">
        <v>115.33329999999999</v>
      </c>
      <c r="AS47" s="178">
        <v>122.83329999999999</v>
      </c>
      <c r="AT47" s="178">
        <v>111.91670000000001</v>
      </c>
      <c r="AU47" s="178">
        <v>108.66670000000001</v>
      </c>
      <c r="AV47" s="178">
        <v>125.58329999999999</v>
      </c>
      <c r="AW47" s="208" t="s">
        <v>530</v>
      </c>
      <c r="AX47" s="189" t="s">
        <v>603</v>
      </c>
      <c r="AY47" s="189" t="s">
        <v>604</v>
      </c>
    </row>
    <row r="48" spans="1:51" x14ac:dyDescent="0.2">
      <c r="A48" s="175" t="s">
        <v>12</v>
      </c>
      <c r="B48" s="175">
        <v>994</v>
      </c>
      <c r="D48" s="189" t="s">
        <v>533</v>
      </c>
      <c r="E48" s="176" t="s">
        <v>534</v>
      </c>
      <c r="F48" s="189" t="s">
        <v>535</v>
      </c>
      <c r="G48" s="189" t="s">
        <v>605</v>
      </c>
      <c r="H48" s="189" t="s">
        <v>537</v>
      </c>
      <c r="I48" s="189" t="s">
        <v>255</v>
      </c>
      <c r="J48" s="189" t="s">
        <v>538</v>
      </c>
      <c r="K48" s="176" t="s">
        <v>150</v>
      </c>
      <c r="L48" s="176" t="s">
        <v>151</v>
      </c>
      <c r="M48" s="176" t="s">
        <v>606</v>
      </c>
      <c r="N48" s="176">
        <v>2358</v>
      </c>
      <c r="O48" s="176" t="s">
        <v>607</v>
      </c>
      <c r="P48" s="177" t="s">
        <v>540</v>
      </c>
      <c r="Q48" s="177" t="s">
        <v>541</v>
      </c>
      <c r="R48" s="176" t="s">
        <v>542</v>
      </c>
      <c r="S48" s="204" t="s">
        <v>543</v>
      </c>
      <c r="T48" s="176" t="s">
        <v>608</v>
      </c>
      <c r="U48" s="176" t="s">
        <v>263</v>
      </c>
      <c r="V48" s="176" t="s">
        <v>263</v>
      </c>
      <c r="W48" s="189">
        <v>819</v>
      </c>
      <c r="X48" s="176">
        <v>1231</v>
      </c>
      <c r="Y48" s="176" t="s">
        <v>107</v>
      </c>
      <c r="Z48" s="176" t="s">
        <v>445</v>
      </c>
      <c r="AA48" s="178" t="s">
        <v>263</v>
      </c>
      <c r="AB48" s="178" t="s">
        <v>263</v>
      </c>
      <c r="AC48" s="178" t="s">
        <v>263</v>
      </c>
      <c r="AD48" s="178" t="s">
        <v>263</v>
      </c>
      <c r="AE48" s="178" t="s">
        <v>263</v>
      </c>
      <c r="AF48" s="178" t="s">
        <v>263</v>
      </c>
      <c r="AG48" s="178" t="s">
        <v>263</v>
      </c>
      <c r="AH48" s="178" t="s">
        <v>263</v>
      </c>
      <c r="AI48" s="178" t="s">
        <v>263</v>
      </c>
      <c r="AJ48" s="178" t="s">
        <v>263</v>
      </c>
      <c r="AK48" s="178" t="s">
        <v>263</v>
      </c>
      <c r="AL48" s="178">
        <v>60</v>
      </c>
      <c r="AM48" s="178">
        <v>31</v>
      </c>
      <c r="AN48" s="178">
        <v>31</v>
      </c>
      <c r="AO48" s="178">
        <v>77</v>
      </c>
      <c r="AP48" s="178">
        <v>72</v>
      </c>
      <c r="AQ48" s="178">
        <v>72</v>
      </c>
      <c r="AR48" s="178">
        <v>73</v>
      </c>
      <c r="AS48" s="178">
        <v>75</v>
      </c>
      <c r="AT48" s="178">
        <v>59</v>
      </c>
      <c r="AU48" s="178">
        <v>47</v>
      </c>
      <c r="AV48" s="178">
        <v>87</v>
      </c>
      <c r="AW48" s="208" t="s">
        <v>544</v>
      </c>
      <c r="AX48" s="176" t="s">
        <v>263</v>
      </c>
      <c r="AY48" s="176" t="s">
        <v>609</v>
      </c>
    </row>
  </sheetData>
  <mergeCells count="1">
    <mergeCell ref="AA1:AV1"/>
  </mergeCells>
  <pageMargins left="0.7" right="0.7" top="0.75" bottom="0.75" header="0.3" footer="0.3"/>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workbookViewId="0">
      <selection activeCell="H1" sqref="H1:H1048576"/>
    </sheetView>
  </sheetViews>
  <sheetFormatPr baseColWidth="10" defaultRowHeight="16" x14ac:dyDescent="0.2"/>
  <cols>
    <col min="2" max="2" width="7.6640625" customWidth="1"/>
    <col min="3" max="4" width="13.5" customWidth="1"/>
    <col min="5" max="7" width="9" style="8" customWidth="1"/>
  </cols>
  <sheetData>
    <row r="1" spans="1:9" s="140" customFormat="1" ht="32" customHeight="1" x14ac:dyDescent="0.2">
      <c r="A1" s="141" t="s">
        <v>198</v>
      </c>
      <c r="B1" s="142" t="s">
        <v>199</v>
      </c>
      <c r="C1" s="221" t="s">
        <v>201</v>
      </c>
      <c r="D1" s="221"/>
      <c r="E1" s="143" t="s">
        <v>66</v>
      </c>
      <c r="F1" s="143" t="s">
        <v>204</v>
      </c>
      <c r="G1" s="144" t="s">
        <v>207</v>
      </c>
      <c r="H1" s="140" t="s">
        <v>200</v>
      </c>
    </row>
    <row r="2" spans="1:9" s="146" customFormat="1" ht="14" x14ac:dyDescent="0.2">
      <c r="A2" s="152" t="s">
        <v>25</v>
      </c>
      <c r="B2" s="153" t="s">
        <v>105</v>
      </c>
      <c r="C2" s="154" t="s">
        <v>188</v>
      </c>
      <c r="D2" s="154" t="s">
        <v>189</v>
      </c>
      <c r="E2" s="155" t="s">
        <v>129</v>
      </c>
      <c r="F2" s="155"/>
      <c r="G2" s="156" t="s">
        <v>129</v>
      </c>
      <c r="H2" s="145">
        <f>IF(RIGHT(D2,1)="N",1,-1)*(LEFT(D2,2)+MID(D2,4,2)/60)</f>
        <v>72.216666666666669</v>
      </c>
    </row>
    <row r="3" spans="1:9" s="146" customFormat="1" ht="14" x14ac:dyDescent="0.2">
      <c r="A3" s="157" t="s">
        <v>26</v>
      </c>
      <c r="B3" s="158" t="s">
        <v>105</v>
      </c>
      <c r="C3" s="158" t="s">
        <v>186</v>
      </c>
      <c r="D3" s="158" t="s">
        <v>187</v>
      </c>
      <c r="E3" s="159" t="s">
        <v>129</v>
      </c>
      <c r="F3" s="159"/>
      <c r="G3" s="160" t="s">
        <v>129</v>
      </c>
      <c r="H3" s="145">
        <f>IF(RIGHT(D3,1)="N",1,-1)*(LEFT(D3,2))</f>
        <v>69</v>
      </c>
    </row>
    <row r="4" spans="1:9" s="146" customFormat="1" ht="14" x14ac:dyDescent="0.2">
      <c r="A4" s="157" t="s">
        <v>98</v>
      </c>
      <c r="B4" s="158" t="s">
        <v>105</v>
      </c>
      <c r="C4" s="158" t="s">
        <v>192</v>
      </c>
      <c r="D4" s="158" t="s">
        <v>193</v>
      </c>
      <c r="E4" s="159" t="s">
        <v>131</v>
      </c>
      <c r="F4" s="159" t="s">
        <v>129</v>
      </c>
      <c r="G4" s="160" t="s">
        <v>205</v>
      </c>
      <c r="H4" s="145">
        <f t="shared" ref="H4:H9" si="0">IF(RIGHT(D4,1)="N",1,-1)*(LEFT(D4,2)+MID(D4,4,2)/60)</f>
        <v>68.266666666666666</v>
      </c>
    </row>
    <row r="5" spans="1:9" s="146" customFormat="1" ht="14" x14ac:dyDescent="0.2">
      <c r="A5" s="157" t="s">
        <v>42</v>
      </c>
      <c r="B5" s="158" t="s">
        <v>105</v>
      </c>
      <c r="C5" s="158" t="s">
        <v>190</v>
      </c>
      <c r="D5" s="158" t="s">
        <v>191</v>
      </c>
      <c r="E5" s="159" t="s">
        <v>129</v>
      </c>
      <c r="F5" s="159"/>
      <c r="G5" s="160" t="s">
        <v>129</v>
      </c>
      <c r="H5" s="145">
        <f t="shared" si="0"/>
        <v>68.2</v>
      </c>
    </row>
    <row r="6" spans="1:9" s="146" customFormat="1" ht="14" x14ac:dyDescent="0.2">
      <c r="A6" s="157" t="s">
        <v>128</v>
      </c>
      <c r="B6" s="158" t="s">
        <v>105</v>
      </c>
      <c r="C6" s="158" t="s">
        <v>190</v>
      </c>
      <c r="D6" s="158" t="s">
        <v>191</v>
      </c>
      <c r="E6" s="158"/>
      <c r="F6" s="159" t="s">
        <v>129</v>
      </c>
      <c r="G6" s="160" t="s">
        <v>129</v>
      </c>
      <c r="H6" s="145">
        <f t="shared" si="0"/>
        <v>68.2</v>
      </c>
    </row>
    <row r="7" spans="1:9" s="146" customFormat="1" ht="14" x14ac:dyDescent="0.2">
      <c r="A7" s="161" t="s">
        <v>27</v>
      </c>
      <c r="B7" s="162" t="s">
        <v>105</v>
      </c>
      <c r="C7" s="158" t="s">
        <v>184</v>
      </c>
      <c r="D7" s="158" t="s">
        <v>185</v>
      </c>
      <c r="E7" s="159" t="s">
        <v>129</v>
      </c>
      <c r="F7" s="159"/>
      <c r="G7" s="160" t="s">
        <v>129</v>
      </c>
      <c r="H7" s="145">
        <f t="shared" si="0"/>
        <v>67.516666666666666</v>
      </c>
    </row>
    <row r="8" spans="1:9" s="146" customFormat="1" ht="14" x14ac:dyDescent="0.2">
      <c r="A8" s="157" t="s">
        <v>35</v>
      </c>
      <c r="B8" s="158" t="s">
        <v>105</v>
      </c>
      <c r="C8" s="158" t="s">
        <v>182</v>
      </c>
      <c r="D8" s="158" t="s">
        <v>183</v>
      </c>
      <c r="E8" s="159" t="s">
        <v>129</v>
      </c>
      <c r="F8" s="159"/>
      <c r="G8" s="160" t="s">
        <v>129</v>
      </c>
      <c r="H8" s="145">
        <f t="shared" si="0"/>
        <v>67.283333333333331</v>
      </c>
    </row>
    <row r="9" spans="1:9" s="146" customFormat="1" ht="14" x14ac:dyDescent="0.2">
      <c r="A9" s="157" t="s">
        <v>99</v>
      </c>
      <c r="B9" s="158" t="s">
        <v>105</v>
      </c>
      <c r="C9" s="158" t="s">
        <v>194</v>
      </c>
      <c r="D9" s="158" t="s">
        <v>195</v>
      </c>
      <c r="E9" s="159"/>
      <c r="F9" s="159" t="s">
        <v>129</v>
      </c>
      <c r="G9" s="160" t="s">
        <v>129</v>
      </c>
      <c r="H9" s="145">
        <f t="shared" si="0"/>
        <v>63.15</v>
      </c>
      <c r="I9" s="146" t="s">
        <v>196</v>
      </c>
    </row>
    <row r="10" spans="1:9" s="146" customFormat="1" ht="14" x14ac:dyDescent="0.2">
      <c r="A10" s="171" t="s">
        <v>28</v>
      </c>
      <c r="B10" s="172" t="s">
        <v>105</v>
      </c>
      <c r="C10" s="172" t="s">
        <v>180</v>
      </c>
      <c r="D10" s="172" t="s">
        <v>181</v>
      </c>
      <c r="E10" s="173" t="s">
        <v>129</v>
      </c>
      <c r="F10" s="173"/>
      <c r="G10" s="174" t="s">
        <v>129</v>
      </c>
      <c r="H10" s="145">
        <v>63.15</v>
      </c>
    </row>
    <row r="11" spans="1:9" s="146" customFormat="1" ht="14" x14ac:dyDescent="0.2">
      <c r="A11" s="157" t="s">
        <v>31</v>
      </c>
      <c r="B11" s="158" t="s">
        <v>105</v>
      </c>
      <c r="C11" s="158" t="s">
        <v>178</v>
      </c>
      <c r="D11" s="158" t="s">
        <v>179</v>
      </c>
      <c r="E11" s="159" t="s">
        <v>131</v>
      </c>
      <c r="F11" s="159"/>
      <c r="G11" s="160" t="s">
        <v>131</v>
      </c>
      <c r="H11" s="147">
        <f t="shared" ref="H11:H16" si="1">IF(RIGHT(D11,1)="N",1,-1)*(LEFT(D11,2)+MID(D11,4,2)/60)</f>
        <v>61.1</v>
      </c>
    </row>
    <row r="12" spans="1:9" s="148" customFormat="1" ht="14" x14ac:dyDescent="0.2">
      <c r="A12" s="157" t="s">
        <v>32</v>
      </c>
      <c r="B12" s="158" t="s">
        <v>106</v>
      </c>
      <c r="C12" s="158" t="s">
        <v>168</v>
      </c>
      <c r="D12" s="158" t="s">
        <v>169</v>
      </c>
      <c r="E12" s="159" t="s">
        <v>129</v>
      </c>
      <c r="F12" s="159"/>
      <c r="G12" s="160" t="s">
        <v>129</v>
      </c>
      <c r="H12" s="147">
        <f t="shared" si="1"/>
        <v>58.633333333333333</v>
      </c>
      <c r="I12" s="146"/>
    </row>
    <row r="13" spans="1:9" s="146" customFormat="1" ht="14" x14ac:dyDescent="0.2">
      <c r="A13" s="157" t="s">
        <v>15</v>
      </c>
      <c r="B13" s="158" t="s">
        <v>106</v>
      </c>
      <c r="C13" s="158" t="s">
        <v>166</v>
      </c>
      <c r="D13" s="158" t="s">
        <v>167</v>
      </c>
      <c r="E13" s="159" t="s">
        <v>129</v>
      </c>
      <c r="F13" s="159"/>
      <c r="G13" s="160" t="s">
        <v>129</v>
      </c>
      <c r="H13" s="147">
        <f t="shared" si="1"/>
        <v>54.45</v>
      </c>
    </row>
    <row r="14" spans="1:9" s="148" customFormat="1" ht="14" x14ac:dyDescent="0.2">
      <c r="A14" s="157" t="s">
        <v>11</v>
      </c>
      <c r="B14" s="158" t="s">
        <v>106</v>
      </c>
      <c r="C14" s="158" t="s">
        <v>209</v>
      </c>
      <c r="D14" s="158" t="s">
        <v>210</v>
      </c>
      <c r="E14" s="159"/>
      <c r="F14" s="159" t="s">
        <v>129</v>
      </c>
      <c r="G14" s="160" t="s">
        <v>129</v>
      </c>
      <c r="H14" s="147">
        <f t="shared" si="1"/>
        <v>50.5</v>
      </c>
      <c r="I14" s="146"/>
    </row>
    <row r="15" spans="1:9" s="148" customFormat="1" ht="14" x14ac:dyDescent="0.2">
      <c r="A15" s="157" t="s">
        <v>24</v>
      </c>
      <c r="B15" s="158" t="s">
        <v>106</v>
      </c>
      <c r="C15" s="158" t="s">
        <v>164</v>
      </c>
      <c r="D15" s="158" t="s">
        <v>165</v>
      </c>
      <c r="E15" s="159" t="s">
        <v>129</v>
      </c>
      <c r="F15" s="159"/>
      <c r="G15" s="160" t="s">
        <v>129</v>
      </c>
      <c r="H15" s="147">
        <f t="shared" si="1"/>
        <v>50.283333333333331</v>
      </c>
      <c r="I15" s="146"/>
    </row>
    <row r="16" spans="1:9" s="148" customFormat="1" ht="14" x14ac:dyDescent="0.2">
      <c r="A16" s="157" t="s">
        <v>18</v>
      </c>
      <c r="B16" s="158" t="s">
        <v>106</v>
      </c>
      <c r="C16" s="158" t="s">
        <v>162</v>
      </c>
      <c r="D16" s="158" t="s">
        <v>163</v>
      </c>
      <c r="E16" s="159" t="s">
        <v>129</v>
      </c>
      <c r="F16" s="159"/>
      <c r="G16" s="160" t="s">
        <v>129</v>
      </c>
      <c r="H16" s="147">
        <f t="shared" si="1"/>
        <v>48.8</v>
      </c>
      <c r="I16" s="146"/>
    </row>
    <row r="17" spans="1:9" s="146" customFormat="1" ht="14" x14ac:dyDescent="0.2">
      <c r="A17" s="157" t="s">
        <v>16</v>
      </c>
      <c r="B17" s="158" t="s">
        <v>106</v>
      </c>
      <c r="C17" s="158" t="s">
        <v>160</v>
      </c>
      <c r="D17" s="158" t="s">
        <v>161</v>
      </c>
      <c r="E17" s="159" t="s">
        <v>129</v>
      </c>
      <c r="F17" s="159"/>
      <c r="G17" s="160" t="s">
        <v>129</v>
      </c>
      <c r="H17" s="147">
        <v>48.716666666666669</v>
      </c>
      <c r="I17" s="146" t="s">
        <v>17</v>
      </c>
    </row>
    <row r="18" spans="1:9" s="148" customFormat="1" ht="14" x14ac:dyDescent="0.2">
      <c r="A18" s="157" t="s">
        <v>22</v>
      </c>
      <c r="B18" s="158" t="s">
        <v>106</v>
      </c>
      <c r="C18" s="158" t="s">
        <v>158</v>
      </c>
      <c r="D18" s="158" t="s">
        <v>159</v>
      </c>
      <c r="E18" s="159" t="s">
        <v>129</v>
      </c>
      <c r="F18" s="159"/>
      <c r="G18" s="160" t="s">
        <v>129</v>
      </c>
      <c r="H18" s="147">
        <f t="shared" ref="H18:H29" si="2">IF(RIGHT(D18,1)="N",1,-1)*(LEFT(D18,2)+MID(D18,4,2)/60)</f>
        <v>48.166666666666664</v>
      </c>
      <c r="I18" s="146"/>
    </row>
    <row r="19" spans="1:9" s="146" customFormat="1" ht="14" x14ac:dyDescent="0.2">
      <c r="A19" s="157" t="s">
        <v>14</v>
      </c>
      <c r="B19" s="158" t="s">
        <v>106</v>
      </c>
      <c r="C19" s="158" t="s">
        <v>170</v>
      </c>
      <c r="D19" s="158" t="s">
        <v>171</v>
      </c>
      <c r="E19" s="159" t="s">
        <v>129</v>
      </c>
      <c r="F19" s="159"/>
      <c r="G19" s="160" t="s">
        <v>208</v>
      </c>
      <c r="H19" s="147">
        <f t="shared" si="2"/>
        <v>47.2</v>
      </c>
      <c r="I19" s="148" t="s">
        <v>197</v>
      </c>
    </row>
    <row r="20" spans="1:9" s="146" customFormat="1" ht="14" x14ac:dyDescent="0.2">
      <c r="A20" s="157" t="s">
        <v>39</v>
      </c>
      <c r="B20" s="158" t="s">
        <v>106</v>
      </c>
      <c r="C20" s="158" t="s">
        <v>172</v>
      </c>
      <c r="D20" s="158" t="s">
        <v>173</v>
      </c>
      <c r="E20" s="159" t="s">
        <v>129</v>
      </c>
      <c r="F20" s="159"/>
      <c r="G20" s="160" t="s">
        <v>129</v>
      </c>
      <c r="H20" s="147">
        <f t="shared" si="2"/>
        <v>46.95</v>
      </c>
    </row>
    <row r="21" spans="1:9" s="146" customFormat="1" ht="14" x14ac:dyDescent="0.2">
      <c r="A21" s="157" t="s">
        <v>43</v>
      </c>
      <c r="B21" s="158" t="s">
        <v>106</v>
      </c>
      <c r="C21" s="158" t="s">
        <v>174</v>
      </c>
      <c r="D21" s="158" t="s">
        <v>175</v>
      </c>
      <c r="E21" s="159" t="s">
        <v>129</v>
      </c>
      <c r="F21" s="159"/>
      <c r="G21" s="160" t="s">
        <v>208</v>
      </c>
      <c r="H21" s="147">
        <f t="shared" si="2"/>
        <v>46.616666666666667</v>
      </c>
      <c r="I21" s="148" t="s">
        <v>44</v>
      </c>
    </row>
    <row r="22" spans="1:9" s="146" customFormat="1" ht="14" x14ac:dyDescent="0.2">
      <c r="A22" s="157" t="s">
        <v>19</v>
      </c>
      <c r="B22" s="158" t="s">
        <v>106</v>
      </c>
      <c r="C22" s="158" t="s">
        <v>176</v>
      </c>
      <c r="D22" s="158" t="s">
        <v>177</v>
      </c>
      <c r="E22" s="159" t="s">
        <v>129</v>
      </c>
      <c r="F22" s="159"/>
      <c r="G22" s="160" t="s">
        <v>208</v>
      </c>
      <c r="H22" s="147">
        <f t="shared" si="2"/>
        <v>46.283333333333331</v>
      </c>
      <c r="I22" s="148"/>
    </row>
    <row r="23" spans="1:9" s="146" customFormat="1" ht="14" x14ac:dyDescent="0.2">
      <c r="A23" s="157" t="s">
        <v>21</v>
      </c>
      <c r="B23" s="158" t="s">
        <v>106</v>
      </c>
      <c r="C23" s="158" t="s">
        <v>156</v>
      </c>
      <c r="D23" s="158" t="s">
        <v>157</v>
      </c>
      <c r="E23" s="159" t="s">
        <v>129</v>
      </c>
      <c r="F23" s="159"/>
      <c r="G23" s="160" t="s">
        <v>129</v>
      </c>
      <c r="H23" s="147">
        <f>IF(RIGHT(D23,1)="N",1,-1)*(LEFT(D23,2)+MID(D23,4,2)/60)</f>
        <v>46.06666666666667</v>
      </c>
    </row>
    <row r="24" spans="1:9" s="146" customFormat="1" ht="14" x14ac:dyDescent="0.2">
      <c r="A24" s="157" t="s">
        <v>10</v>
      </c>
      <c r="B24" s="158" t="s">
        <v>106</v>
      </c>
      <c r="C24" s="158" t="s">
        <v>156</v>
      </c>
      <c r="D24" s="158" t="s">
        <v>157</v>
      </c>
      <c r="E24" s="159"/>
      <c r="F24" s="159" t="s">
        <v>129</v>
      </c>
      <c r="G24" s="160" t="s">
        <v>129</v>
      </c>
      <c r="H24" s="147">
        <f t="shared" si="2"/>
        <v>46.06666666666667</v>
      </c>
    </row>
    <row r="25" spans="1:9" s="146" customFormat="1" ht="14" x14ac:dyDescent="0.2">
      <c r="A25" s="157" t="s">
        <v>13</v>
      </c>
      <c r="B25" s="158" t="s">
        <v>106</v>
      </c>
      <c r="C25" s="158" t="s">
        <v>152</v>
      </c>
      <c r="D25" s="158" t="s">
        <v>153</v>
      </c>
      <c r="E25" s="159" t="s">
        <v>129</v>
      </c>
      <c r="F25" s="159"/>
      <c r="G25" s="160" t="s">
        <v>208</v>
      </c>
      <c r="H25" s="147">
        <f t="shared" si="2"/>
        <v>41.8</v>
      </c>
      <c r="I25" s="148"/>
    </row>
    <row r="26" spans="1:9" s="146" customFormat="1" ht="14" x14ac:dyDescent="0.2">
      <c r="A26" s="157" t="s">
        <v>33</v>
      </c>
      <c r="B26" s="158" t="s">
        <v>106</v>
      </c>
      <c r="C26" s="158" t="s">
        <v>152</v>
      </c>
      <c r="D26" s="158" t="s">
        <v>153</v>
      </c>
      <c r="E26" s="159" t="s">
        <v>131</v>
      </c>
      <c r="F26" s="159"/>
      <c r="G26" s="160" t="s">
        <v>131</v>
      </c>
      <c r="H26" s="147">
        <f t="shared" si="2"/>
        <v>41.8</v>
      </c>
    </row>
    <row r="27" spans="1:9" s="146" customFormat="1" ht="14" x14ac:dyDescent="0.2">
      <c r="A27" s="171" t="s">
        <v>20</v>
      </c>
      <c r="B27" s="172" t="s">
        <v>106</v>
      </c>
      <c r="C27" s="172" t="s">
        <v>154</v>
      </c>
      <c r="D27" s="172" t="s">
        <v>155</v>
      </c>
      <c r="E27" s="173" t="s">
        <v>129</v>
      </c>
      <c r="F27" s="173"/>
      <c r="G27" s="174" t="s">
        <v>129</v>
      </c>
      <c r="H27" s="147">
        <f t="shared" si="2"/>
        <v>40.1</v>
      </c>
    </row>
    <row r="28" spans="1:9" s="146" customFormat="1" ht="14" x14ac:dyDescent="0.2">
      <c r="A28" s="157" t="s">
        <v>34</v>
      </c>
      <c r="B28" s="158" t="s">
        <v>107</v>
      </c>
      <c r="C28" s="158" t="s">
        <v>146</v>
      </c>
      <c r="D28" s="158" t="s">
        <v>147</v>
      </c>
      <c r="E28" s="159" t="s">
        <v>129</v>
      </c>
      <c r="F28" s="159"/>
      <c r="G28" s="160" t="s">
        <v>129</v>
      </c>
      <c r="H28" s="149">
        <f t="shared" si="2"/>
        <v>38.283333333333331</v>
      </c>
    </row>
    <row r="29" spans="1:9" s="146" customFormat="1" ht="14" x14ac:dyDescent="0.2">
      <c r="A29" s="157" t="s">
        <v>9</v>
      </c>
      <c r="B29" s="158" t="s">
        <v>107</v>
      </c>
      <c r="C29" s="158" t="s">
        <v>144</v>
      </c>
      <c r="D29" s="158" t="s">
        <v>145</v>
      </c>
      <c r="E29" s="159" t="s">
        <v>129</v>
      </c>
      <c r="F29" s="159" t="s">
        <v>129</v>
      </c>
      <c r="G29" s="160" t="s">
        <v>206</v>
      </c>
      <c r="H29" s="149">
        <f t="shared" si="2"/>
        <v>37.033333333333331</v>
      </c>
    </row>
    <row r="30" spans="1:9" s="146" customFormat="1" ht="14" x14ac:dyDescent="0.2">
      <c r="A30" s="157" t="s">
        <v>12</v>
      </c>
      <c r="B30" s="158" t="s">
        <v>107</v>
      </c>
      <c r="C30" s="158" t="s">
        <v>150</v>
      </c>
      <c r="D30" s="158" t="s">
        <v>151</v>
      </c>
      <c r="E30" s="158"/>
      <c r="F30" s="159" t="s">
        <v>129</v>
      </c>
      <c r="G30" s="160" t="s">
        <v>129</v>
      </c>
      <c r="H30" s="149">
        <f>IF(RIGHT(D30,1)="N",1,-1)*(LEFT(D30,6))</f>
        <v>35.957000000000001</v>
      </c>
    </row>
    <row r="31" spans="1:9" s="146" customFormat="1" ht="14" x14ac:dyDescent="0.2">
      <c r="A31" s="157" t="s">
        <v>30</v>
      </c>
      <c r="B31" s="158" t="s">
        <v>107</v>
      </c>
      <c r="C31" s="158" t="s">
        <v>148</v>
      </c>
      <c r="D31" s="158" t="s">
        <v>149</v>
      </c>
      <c r="E31" s="159" t="s">
        <v>129</v>
      </c>
      <c r="F31" s="159"/>
      <c r="G31" s="160" t="s">
        <v>129</v>
      </c>
      <c r="H31" s="149">
        <f>IF(RIGHT(D31,1)="N",1,-1)*(LEFT(D31,2)+MID(D31,4,2)/60)</f>
        <v>35.950000000000003</v>
      </c>
    </row>
    <row r="32" spans="1:9" s="146" customFormat="1" ht="14" x14ac:dyDescent="0.2">
      <c r="A32" s="157" t="s">
        <v>23</v>
      </c>
      <c r="B32" s="158" t="s">
        <v>107</v>
      </c>
      <c r="C32" s="158" t="s">
        <v>142</v>
      </c>
      <c r="D32" s="158" t="s">
        <v>143</v>
      </c>
      <c r="E32" s="159" t="s">
        <v>129</v>
      </c>
      <c r="F32" s="159"/>
      <c r="G32" s="160" t="s">
        <v>129</v>
      </c>
      <c r="H32" s="149">
        <f>IF(RIGHT(D32,1)="N",1,-1)*(LEFT(D32,2)+MID(D32,4,2)/60)</f>
        <v>35.166666666666664</v>
      </c>
    </row>
    <row r="33" spans="1:8" s="146" customFormat="1" ht="14" x14ac:dyDescent="0.2">
      <c r="A33" s="157" t="s">
        <v>29</v>
      </c>
      <c r="B33" s="158" t="s">
        <v>107</v>
      </c>
      <c r="C33" s="158" t="s">
        <v>140</v>
      </c>
      <c r="D33" s="158" t="s">
        <v>141</v>
      </c>
      <c r="E33" s="159" t="s">
        <v>129</v>
      </c>
      <c r="F33" s="159"/>
      <c r="G33" s="160" t="s">
        <v>129</v>
      </c>
      <c r="H33" s="149">
        <f>IF(RIGHT(D33,1)="N",1,-1)*(LEFT(D33,2)+MID(D33,4,2)/60)</f>
        <v>31.116666666666667</v>
      </c>
    </row>
    <row r="34" spans="1:8" s="146" customFormat="1" ht="14" x14ac:dyDescent="0.2">
      <c r="A34" s="171" t="s">
        <v>45</v>
      </c>
      <c r="B34" s="172" t="s">
        <v>107</v>
      </c>
      <c r="C34" s="172" t="s">
        <v>202</v>
      </c>
      <c r="D34" s="172" t="s">
        <v>203</v>
      </c>
      <c r="E34" s="173" t="s">
        <v>129</v>
      </c>
      <c r="F34" s="173"/>
      <c r="G34" s="174" t="s">
        <v>129</v>
      </c>
      <c r="H34" s="149">
        <f>IF(RIGHT(D34,1)="N",1,-1)*(LEFT(D34,2)+MID(D34,4,2)/60)</f>
        <v>30.333333333333332</v>
      </c>
    </row>
    <row r="35" spans="1:8" s="146" customFormat="1" ht="14" x14ac:dyDescent="0.2">
      <c r="A35" s="163" t="s">
        <v>0</v>
      </c>
      <c r="B35" s="164" t="s">
        <v>108</v>
      </c>
      <c r="C35" s="164" t="s">
        <v>136</v>
      </c>
      <c r="D35" s="164" t="s">
        <v>137</v>
      </c>
      <c r="E35" s="165" t="s">
        <v>129</v>
      </c>
      <c r="F35" s="165"/>
      <c r="G35" s="166" t="s">
        <v>129</v>
      </c>
      <c r="H35" s="150">
        <f>IF(RIGHT(D35,1)="N",1,-1)*(LEFT(D35,2)+MID(D35,4,2)/60)</f>
        <v>-32.65</v>
      </c>
    </row>
    <row r="36" spans="1:8" s="146" customFormat="1" ht="14" x14ac:dyDescent="0.2">
      <c r="A36" s="163" t="s">
        <v>5</v>
      </c>
      <c r="B36" s="164" t="s">
        <v>108</v>
      </c>
      <c r="C36" s="164" t="s">
        <v>134</v>
      </c>
      <c r="D36" s="164" t="s">
        <v>135</v>
      </c>
      <c r="E36" s="165" t="s">
        <v>129</v>
      </c>
      <c r="F36" s="165" t="s">
        <v>129</v>
      </c>
      <c r="G36" s="166" t="s">
        <v>206</v>
      </c>
      <c r="H36" s="150">
        <v>-35.916666666666664</v>
      </c>
    </row>
    <row r="37" spans="1:8" s="146" customFormat="1" ht="14" x14ac:dyDescent="0.2">
      <c r="A37" s="163" t="s">
        <v>4</v>
      </c>
      <c r="B37" s="164" t="s">
        <v>108</v>
      </c>
      <c r="C37" s="164" t="s">
        <v>134</v>
      </c>
      <c r="D37" s="164" t="s">
        <v>135</v>
      </c>
      <c r="E37" s="165" t="s">
        <v>131</v>
      </c>
      <c r="F37" s="165"/>
      <c r="G37" s="166" t="s">
        <v>131</v>
      </c>
      <c r="H37" s="150">
        <v>-35.916666666666664</v>
      </c>
    </row>
    <row r="38" spans="1:8" s="146" customFormat="1" ht="14" x14ac:dyDescent="0.2">
      <c r="A38" s="163" t="s">
        <v>7</v>
      </c>
      <c r="B38" s="164" t="s">
        <v>108</v>
      </c>
      <c r="C38" s="164" t="s">
        <v>134</v>
      </c>
      <c r="D38" s="164" t="s">
        <v>135</v>
      </c>
      <c r="E38" s="165" t="s">
        <v>129</v>
      </c>
      <c r="F38" s="165"/>
      <c r="G38" s="166" t="s">
        <v>129</v>
      </c>
      <c r="H38" s="150">
        <v>-35.916666666666664</v>
      </c>
    </row>
    <row r="39" spans="1:8" s="146" customFormat="1" ht="14" x14ac:dyDescent="0.2">
      <c r="A39" s="163" t="s">
        <v>109</v>
      </c>
      <c r="B39" s="164" t="s">
        <v>108</v>
      </c>
      <c r="C39" s="164" t="s">
        <v>134</v>
      </c>
      <c r="D39" s="164" t="s">
        <v>135</v>
      </c>
      <c r="E39" s="165" t="s">
        <v>129</v>
      </c>
      <c r="F39" s="165"/>
      <c r="G39" s="166" t="s">
        <v>129</v>
      </c>
      <c r="H39" s="150">
        <v>-35.916666666666664</v>
      </c>
    </row>
    <row r="40" spans="1:8" s="146" customFormat="1" ht="14" x14ac:dyDescent="0.2">
      <c r="A40" s="163" t="s">
        <v>211</v>
      </c>
      <c r="B40" s="164" t="s">
        <v>108</v>
      </c>
      <c r="C40" s="164" t="s">
        <v>214</v>
      </c>
      <c r="D40" s="164" t="s">
        <v>213</v>
      </c>
      <c r="E40" s="165" t="s">
        <v>129</v>
      </c>
      <c r="F40" s="165"/>
      <c r="G40" s="166" t="s">
        <v>131</v>
      </c>
      <c r="H40" s="150"/>
    </row>
    <row r="41" spans="1:8" s="146" customFormat="1" ht="14" x14ac:dyDescent="0.2">
      <c r="A41" s="163" t="s">
        <v>6</v>
      </c>
      <c r="B41" s="164" t="s">
        <v>108</v>
      </c>
      <c r="C41" s="164" t="s">
        <v>132</v>
      </c>
      <c r="D41" s="164" t="s">
        <v>133</v>
      </c>
      <c r="E41" s="165" t="s">
        <v>129</v>
      </c>
      <c r="F41" s="165"/>
      <c r="G41" s="166" t="s">
        <v>129</v>
      </c>
      <c r="H41" s="150">
        <f>IF(RIGHT(D41,1)="N",1,-1)*(LEFT(D41,2)+MID(D41,4,2)/60)</f>
        <v>-41.75</v>
      </c>
    </row>
    <row r="42" spans="1:8" s="146" customFormat="1" ht="14" x14ac:dyDescent="0.2">
      <c r="A42" s="167" t="s">
        <v>3</v>
      </c>
      <c r="B42" s="168" t="s">
        <v>108</v>
      </c>
      <c r="C42" s="168" t="s">
        <v>138</v>
      </c>
      <c r="D42" s="168" t="s">
        <v>139</v>
      </c>
      <c r="E42" s="169" t="s">
        <v>129</v>
      </c>
      <c r="F42" s="169" t="s">
        <v>129</v>
      </c>
      <c r="G42" s="170" t="s">
        <v>206</v>
      </c>
      <c r="H42" s="150">
        <f>IF(RIGHT(D42,1)="N",1,-1)*(LEFT(D42,2)+MID(D42,4,2)/60)</f>
        <v>-41.9</v>
      </c>
    </row>
    <row r="43" spans="1:8" s="146" customFormat="1" ht="14" x14ac:dyDescent="0.2">
      <c r="A43" s="146" t="s">
        <v>130</v>
      </c>
      <c r="E43" s="151"/>
      <c r="F43" s="151"/>
      <c r="G43" s="151"/>
    </row>
  </sheetData>
  <sortState ref="A2:I39">
    <sortCondition descending="1" ref="H2:H39"/>
  </sortState>
  <mergeCells count="1">
    <mergeCell ref="C1:D1"/>
  </mergeCells>
  <phoneticPr fontId="10" type="noConversion"/>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63"/>
  <sheetViews>
    <sheetView zoomScale="137" workbookViewId="0">
      <selection activeCell="M9" sqref="M9"/>
    </sheetView>
  </sheetViews>
  <sheetFormatPr baseColWidth="10" defaultColWidth="6.83203125" defaultRowHeight="16" x14ac:dyDescent="0.2"/>
  <cols>
    <col min="1" max="1" width="14.33203125" customWidth="1"/>
    <col min="8" max="10" width="6.83203125" style="5"/>
    <col min="11" max="11" width="8.1640625" bestFit="1" customWidth="1"/>
    <col min="14" max="22" width="6.83203125" style="5"/>
    <col min="27" max="27" width="6.83203125" style="8"/>
    <col min="34" max="34" width="7.5" bestFit="1" customWidth="1"/>
    <col min="37" max="37" width="7.33203125" bestFit="1" customWidth="1"/>
    <col min="41" max="41" width="8.1640625" bestFit="1" customWidth="1"/>
    <col min="58" max="58" width="7.33203125" bestFit="1" customWidth="1"/>
    <col min="89" max="91" width="6.83203125" style="13"/>
    <col min="101" max="103" width="6.83203125" style="13"/>
    <col min="107" max="109" width="6.83203125" style="13"/>
    <col min="115" max="115" width="8.33203125" bestFit="1" customWidth="1"/>
  </cols>
  <sheetData>
    <row r="1" spans="1:126" s="69" customFormat="1" x14ac:dyDescent="0.2">
      <c r="A1" s="69" t="s">
        <v>104</v>
      </c>
      <c r="AA1" s="70"/>
    </row>
    <row r="3" spans="1:126" x14ac:dyDescent="0.2">
      <c r="B3" t="s">
        <v>0</v>
      </c>
      <c r="E3" t="s">
        <v>3</v>
      </c>
      <c r="H3" t="s">
        <v>5</v>
      </c>
      <c r="I3"/>
      <c r="J3"/>
      <c r="K3" s="13" t="s">
        <v>4</v>
      </c>
      <c r="L3" s="13"/>
      <c r="M3" s="13"/>
      <c r="N3" s="13" t="s">
        <v>211</v>
      </c>
      <c r="O3" s="13"/>
      <c r="P3" s="13"/>
      <c r="Q3" s="7" t="s">
        <v>7</v>
      </c>
      <c r="R3" s="7" t="s">
        <v>102</v>
      </c>
      <c r="S3" s="7"/>
      <c r="T3" s="7" t="s">
        <v>109</v>
      </c>
      <c r="U3" s="7"/>
      <c r="V3" s="7"/>
      <c r="W3" t="s">
        <v>6</v>
      </c>
      <c r="Z3" t="s">
        <v>212</v>
      </c>
      <c r="AF3" t="s">
        <v>38</v>
      </c>
      <c r="AI3" t="s">
        <v>45</v>
      </c>
      <c r="AL3" t="s">
        <v>23</v>
      </c>
      <c r="AO3" t="s">
        <v>29</v>
      </c>
      <c r="AR3" t="s">
        <v>30</v>
      </c>
      <c r="AU3" t="s">
        <v>34</v>
      </c>
      <c r="AX3" s="95" t="s">
        <v>13</v>
      </c>
      <c r="AY3" s="95"/>
      <c r="AZ3" s="95"/>
      <c r="BA3" s="95" t="s">
        <v>14</v>
      </c>
      <c r="BB3" s="95" t="s">
        <v>40</v>
      </c>
      <c r="BC3" s="95"/>
      <c r="BD3" s="95" t="s">
        <v>39</v>
      </c>
      <c r="BE3" s="95"/>
      <c r="BF3" s="95"/>
      <c r="BG3" s="95" t="s">
        <v>15</v>
      </c>
      <c r="BH3" s="95"/>
      <c r="BI3" s="95"/>
      <c r="BJ3" s="95" t="s">
        <v>16</v>
      </c>
      <c r="BK3" s="95" t="s">
        <v>17</v>
      </c>
      <c r="BL3" s="95"/>
      <c r="BM3" s="95" t="s">
        <v>18</v>
      </c>
      <c r="BN3" s="95"/>
      <c r="BO3" s="95"/>
      <c r="BP3" s="95" t="s">
        <v>20</v>
      </c>
      <c r="BQ3" s="95"/>
      <c r="BR3" s="95"/>
      <c r="BS3" s="95" t="s">
        <v>19</v>
      </c>
      <c r="BT3" s="95"/>
      <c r="BU3" s="95"/>
      <c r="BV3" s="95" t="s">
        <v>21</v>
      </c>
      <c r="BW3" s="95"/>
      <c r="BX3" s="95"/>
      <c r="BY3" s="95" t="s">
        <v>22</v>
      </c>
      <c r="BZ3" s="95"/>
      <c r="CA3" s="95"/>
      <c r="CB3" s="95" t="s">
        <v>24</v>
      </c>
      <c r="CC3" s="95"/>
      <c r="CD3" s="95"/>
      <c r="CE3" s="95" t="s">
        <v>43</v>
      </c>
      <c r="CF3" s="95" t="s">
        <v>44</v>
      </c>
      <c r="CG3" s="95"/>
      <c r="CH3" s="95" t="s">
        <v>32</v>
      </c>
      <c r="CI3" s="95"/>
      <c r="CJ3" s="95"/>
      <c r="CK3" s="96" t="s">
        <v>33</v>
      </c>
      <c r="CL3" s="96"/>
      <c r="CM3" s="96"/>
      <c r="CN3" t="s">
        <v>35</v>
      </c>
      <c r="CQ3" t="s">
        <v>25</v>
      </c>
      <c r="CT3" t="s">
        <v>26</v>
      </c>
      <c r="CW3" t="s">
        <v>27</v>
      </c>
      <c r="CX3"/>
      <c r="CY3"/>
      <c r="CZ3" t="s">
        <v>42</v>
      </c>
      <c r="DA3" t="s">
        <v>41</v>
      </c>
      <c r="DC3" s="13" t="s">
        <v>46</v>
      </c>
      <c r="DF3" t="s">
        <v>28</v>
      </c>
      <c r="DI3" s="13" t="s">
        <v>31</v>
      </c>
      <c r="DJ3" s="13"/>
      <c r="DK3" s="13"/>
      <c r="DL3" t="s">
        <v>48</v>
      </c>
    </row>
    <row r="4" spans="1:126" x14ac:dyDescent="0.2">
      <c r="B4" s="222" t="s">
        <v>1</v>
      </c>
      <c r="C4" s="222"/>
      <c r="D4" s="222"/>
      <c r="E4" s="222" t="s">
        <v>1</v>
      </c>
      <c r="F4" s="222"/>
      <c r="G4" s="222"/>
      <c r="H4" s="222" t="s">
        <v>1</v>
      </c>
      <c r="I4" s="222"/>
      <c r="J4" s="222"/>
      <c r="K4" s="225" t="s">
        <v>1</v>
      </c>
      <c r="L4" s="225"/>
      <c r="M4" s="225"/>
      <c r="N4" s="225" t="s">
        <v>1</v>
      </c>
      <c r="O4" s="225"/>
      <c r="P4" s="225"/>
      <c r="Q4" s="222" t="s">
        <v>1</v>
      </c>
      <c r="R4" s="222"/>
      <c r="S4" s="222"/>
      <c r="T4" s="222" t="s">
        <v>1</v>
      </c>
      <c r="U4" s="222"/>
      <c r="V4" s="222"/>
      <c r="W4" s="222" t="s">
        <v>1</v>
      </c>
      <c r="X4" s="222"/>
      <c r="Y4" s="222"/>
      <c r="Z4" s="223" t="s">
        <v>1</v>
      </c>
      <c r="AA4" s="223"/>
      <c r="AB4" s="223"/>
      <c r="AF4" s="227" t="s">
        <v>1</v>
      </c>
      <c r="AG4" s="227"/>
      <c r="AH4" s="227"/>
      <c r="AI4" s="227" t="s">
        <v>1</v>
      </c>
      <c r="AJ4" s="227"/>
      <c r="AK4" s="227"/>
      <c r="AL4" s="227" t="s">
        <v>1</v>
      </c>
      <c r="AM4" s="227"/>
      <c r="AN4" s="227"/>
      <c r="AO4" s="227" t="s">
        <v>1</v>
      </c>
      <c r="AP4" s="227"/>
      <c r="AQ4" s="227"/>
      <c r="AR4" s="227" t="s">
        <v>1</v>
      </c>
      <c r="AS4" s="227"/>
      <c r="AT4" s="227"/>
      <c r="AU4" s="227" t="s">
        <v>1</v>
      </c>
      <c r="AV4" s="227"/>
      <c r="AW4" s="227"/>
      <c r="AX4" s="226" t="s">
        <v>1</v>
      </c>
      <c r="AY4" s="226"/>
      <c r="AZ4" s="226"/>
      <c r="BA4" s="226" t="s">
        <v>1</v>
      </c>
      <c r="BB4" s="226"/>
      <c r="BC4" s="226"/>
      <c r="BD4" s="226" t="s">
        <v>1</v>
      </c>
      <c r="BE4" s="226"/>
      <c r="BF4" s="226"/>
      <c r="BG4" s="226" t="s">
        <v>1</v>
      </c>
      <c r="BH4" s="226"/>
      <c r="BI4" s="226"/>
      <c r="BJ4" s="226" t="s">
        <v>1</v>
      </c>
      <c r="BK4" s="226"/>
      <c r="BL4" s="226"/>
      <c r="BM4" s="226" t="s">
        <v>1</v>
      </c>
      <c r="BN4" s="226"/>
      <c r="BO4" s="226"/>
      <c r="BP4" s="226" t="s">
        <v>1</v>
      </c>
      <c r="BQ4" s="226"/>
      <c r="BR4" s="226"/>
      <c r="BS4" s="226" t="s">
        <v>1</v>
      </c>
      <c r="BT4" s="226"/>
      <c r="BU4" s="226"/>
      <c r="BV4" s="226" t="s">
        <v>1</v>
      </c>
      <c r="BW4" s="226"/>
      <c r="BX4" s="226"/>
      <c r="BY4" s="226" t="s">
        <v>1</v>
      </c>
      <c r="BZ4" s="226"/>
      <c r="CA4" s="226"/>
      <c r="CB4" s="226" t="s">
        <v>1</v>
      </c>
      <c r="CC4" s="226"/>
      <c r="CD4" s="226"/>
      <c r="CE4" s="229" t="s">
        <v>1</v>
      </c>
      <c r="CF4" s="229"/>
      <c r="CG4" s="229"/>
      <c r="CH4" s="226" t="s">
        <v>1</v>
      </c>
      <c r="CI4" s="226"/>
      <c r="CJ4" s="226"/>
      <c r="CK4" s="230" t="s">
        <v>1</v>
      </c>
      <c r="CL4" s="230"/>
      <c r="CM4" s="230"/>
      <c r="CN4" s="224" t="s">
        <v>1</v>
      </c>
      <c r="CO4" s="224"/>
      <c r="CP4" s="224"/>
      <c r="CQ4" s="224" t="s">
        <v>1</v>
      </c>
      <c r="CR4" s="224"/>
      <c r="CS4" s="224"/>
      <c r="CT4" s="224" t="s">
        <v>1</v>
      </c>
      <c r="CU4" s="224"/>
      <c r="CV4" s="224"/>
      <c r="CW4" s="224" t="s">
        <v>1</v>
      </c>
      <c r="CX4" s="224"/>
      <c r="CY4" s="224"/>
      <c r="CZ4" s="224" t="s">
        <v>1</v>
      </c>
      <c r="DA4" s="224"/>
      <c r="DB4" s="224"/>
      <c r="DC4" s="228" t="s">
        <v>1</v>
      </c>
      <c r="DD4" s="228"/>
      <c r="DE4" s="228"/>
      <c r="DF4" s="224" t="s">
        <v>47</v>
      </c>
      <c r="DG4" s="224"/>
      <c r="DH4" s="224"/>
      <c r="DI4" s="228" t="s">
        <v>1</v>
      </c>
      <c r="DJ4" s="228"/>
      <c r="DK4" s="228"/>
      <c r="DL4" s="223" t="s">
        <v>1</v>
      </c>
      <c r="DM4" s="223"/>
      <c r="DN4" s="223"/>
      <c r="DQ4" t="s">
        <v>66</v>
      </c>
    </row>
    <row r="5" spans="1:126" x14ac:dyDescent="0.2">
      <c r="A5">
        <v>770</v>
      </c>
      <c r="B5" s="106">
        <v>-22.344170052609247</v>
      </c>
      <c r="C5" s="106" t="s">
        <v>2</v>
      </c>
      <c r="D5" s="106">
        <v>2.3264458074704826</v>
      </c>
      <c r="E5" s="106">
        <v>-26.167590610275738</v>
      </c>
      <c r="F5" s="106" t="s">
        <v>2</v>
      </c>
      <c r="G5" s="106">
        <v>2.4217858610947842</v>
      </c>
      <c r="H5" s="106">
        <v>-21.555454997569168</v>
      </c>
      <c r="I5" s="106" t="s">
        <v>2</v>
      </c>
      <c r="J5" s="106">
        <v>1.43612030536587</v>
      </c>
      <c r="K5" s="107">
        <v>-23.041207293958642</v>
      </c>
      <c r="L5" s="107" t="s">
        <v>2</v>
      </c>
      <c r="M5" s="107">
        <v>0.87733383613254756</v>
      </c>
      <c r="N5" s="107">
        <v>-27.18812439820606</v>
      </c>
      <c r="O5" s="107" t="s">
        <v>2</v>
      </c>
      <c r="P5" s="107">
        <v>2.4665024711515415</v>
      </c>
      <c r="Q5" s="108">
        <v>-21.776189455772197</v>
      </c>
      <c r="R5" s="108" t="s">
        <v>2</v>
      </c>
      <c r="S5" s="108">
        <v>1.6176525671184394</v>
      </c>
      <c r="T5" s="106">
        <v>-22.536270865170181</v>
      </c>
      <c r="U5" s="106" t="s">
        <v>2</v>
      </c>
      <c r="V5" s="106">
        <v>1.5977257716572209</v>
      </c>
      <c r="W5" s="106">
        <v>-25.784588420442844</v>
      </c>
      <c r="X5" s="106" t="s">
        <v>2</v>
      </c>
      <c r="Y5" s="106">
        <v>2.268345078420881</v>
      </c>
      <c r="Z5" s="4">
        <v>-23.445572386975975</v>
      </c>
      <c r="AA5" s="9" t="s">
        <v>2</v>
      </c>
      <c r="AB5" s="4">
        <v>0.60229191081712763</v>
      </c>
      <c r="AF5" s="90">
        <v>-16.833165605017797</v>
      </c>
      <c r="AG5" s="90" t="s">
        <v>2</v>
      </c>
      <c r="AH5" s="90">
        <v>1.4109182334146257</v>
      </c>
      <c r="AI5" s="90">
        <v>-19.046607955806039</v>
      </c>
      <c r="AJ5" s="90" t="s">
        <v>2</v>
      </c>
      <c r="AK5" s="90">
        <v>1.0731623722670331</v>
      </c>
      <c r="AL5" s="91">
        <v>-22.706978749609807</v>
      </c>
      <c r="AM5" s="91" t="s">
        <v>2</v>
      </c>
      <c r="AN5" s="91">
        <v>3.151855611590427</v>
      </c>
      <c r="AO5" s="90">
        <v>-21.08027780921762</v>
      </c>
      <c r="AP5" s="90" t="s">
        <v>2</v>
      </c>
      <c r="AQ5" s="90">
        <v>2.3108629712780862</v>
      </c>
      <c r="AR5" s="90">
        <v>-20.544259757133034</v>
      </c>
      <c r="AS5" s="90" t="s">
        <v>2</v>
      </c>
      <c r="AT5" s="90">
        <v>2.0402702270366531</v>
      </c>
      <c r="AU5" s="92">
        <v>-19.934382552470264</v>
      </c>
      <c r="AV5" s="93" t="s">
        <v>2</v>
      </c>
      <c r="AW5" s="93">
        <v>3.5306578792515007</v>
      </c>
      <c r="AX5" s="97">
        <v>-20.950969402122933</v>
      </c>
      <c r="AY5" s="97" t="s">
        <v>2</v>
      </c>
      <c r="AZ5" s="97">
        <v>2.5057253908574437</v>
      </c>
      <c r="BA5" s="99"/>
      <c r="BB5" s="99"/>
      <c r="BC5" s="99"/>
      <c r="BD5" s="97">
        <v>-18.773109877059603</v>
      </c>
      <c r="BE5" s="97" t="s">
        <v>2</v>
      </c>
      <c r="BF5" s="97">
        <v>2.2365998519015529</v>
      </c>
      <c r="BG5" s="97">
        <v>-18.350393076719151</v>
      </c>
      <c r="BH5" s="97" t="s">
        <v>2</v>
      </c>
      <c r="BI5" s="97">
        <v>1.6968285123992899</v>
      </c>
      <c r="BJ5" s="97">
        <v>-17.069497411187797</v>
      </c>
      <c r="BK5" s="97" t="s">
        <v>2</v>
      </c>
      <c r="BL5" s="97">
        <v>1.5624840680529746</v>
      </c>
      <c r="BM5" s="97">
        <v>-20.007517839134458</v>
      </c>
      <c r="BN5" s="97" t="s">
        <v>2</v>
      </c>
      <c r="BO5" s="97">
        <v>2.5050942845366024</v>
      </c>
      <c r="BP5" s="97">
        <v>-23.243397298318371</v>
      </c>
      <c r="BQ5" s="97" t="s">
        <v>2</v>
      </c>
      <c r="BR5" s="97">
        <v>2.3038045856075562</v>
      </c>
      <c r="BS5" s="97">
        <v>-17.730415169048275</v>
      </c>
      <c r="BT5" s="97" t="s">
        <v>2</v>
      </c>
      <c r="BU5" s="97">
        <v>1.8551975986908231</v>
      </c>
      <c r="BV5" s="97">
        <v>-21.715830108573584</v>
      </c>
      <c r="BW5" s="97" t="s">
        <v>2</v>
      </c>
      <c r="BX5" s="97">
        <v>2.4294113718699375</v>
      </c>
      <c r="BY5" s="97"/>
      <c r="BZ5" s="97" t="s">
        <v>2</v>
      </c>
      <c r="CA5" s="97"/>
      <c r="CB5" s="97">
        <v>-18.115811726158281</v>
      </c>
      <c r="CC5" s="97" t="s">
        <v>2</v>
      </c>
      <c r="CD5" s="97">
        <v>1.8394182176790641</v>
      </c>
      <c r="CE5" s="100"/>
      <c r="CF5" s="100"/>
      <c r="CG5" s="100"/>
      <c r="CH5" s="98">
        <v>-19.96721184959771</v>
      </c>
      <c r="CI5" s="98" t="s">
        <v>2</v>
      </c>
      <c r="CJ5" s="98">
        <v>1.9588701759242952</v>
      </c>
      <c r="CK5" s="99">
        <v>-20.801699442591136</v>
      </c>
      <c r="CL5" s="99" t="s">
        <v>2</v>
      </c>
      <c r="CM5" s="99">
        <v>2.2876070493708522</v>
      </c>
      <c r="CN5" s="1">
        <v>-14.301898298387684</v>
      </c>
      <c r="CO5" s="1" t="s">
        <v>2</v>
      </c>
      <c r="CP5" s="1">
        <v>1.4682264515637249</v>
      </c>
      <c r="CQ5" s="1">
        <v>-18.499263806984857</v>
      </c>
      <c r="CR5" s="1" t="s">
        <v>2</v>
      </c>
      <c r="CS5" s="1">
        <v>2.3623330949001291</v>
      </c>
      <c r="CT5" s="17">
        <v>-21.537282605131878</v>
      </c>
      <c r="CU5" s="17" t="s">
        <v>2</v>
      </c>
      <c r="CV5" s="17">
        <v>2.4849916699660914</v>
      </c>
      <c r="CW5" s="17">
        <v>-18.088901808777315</v>
      </c>
      <c r="CX5" s="17" t="s">
        <v>2</v>
      </c>
      <c r="CY5" s="17">
        <v>3.5240220838717264</v>
      </c>
      <c r="CZ5" s="1">
        <v>-19.891650910170089</v>
      </c>
      <c r="DA5" s="1" t="s">
        <v>2</v>
      </c>
      <c r="DB5" s="1">
        <v>1.9917838914477781</v>
      </c>
      <c r="DC5" s="18">
        <v>-14.32615981376939</v>
      </c>
      <c r="DD5" s="18" t="s">
        <v>2</v>
      </c>
      <c r="DE5" s="18">
        <v>1.901479601230742</v>
      </c>
      <c r="DF5" s="17">
        <v>-14.41736494458301</v>
      </c>
      <c r="DG5" s="17" t="s">
        <v>2</v>
      </c>
      <c r="DH5" s="17">
        <v>2.363012897575369</v>
      </c>
      <c r="DI5" s="14">
        <v>-21.574186874977698</v>
      </c>
      <c r="DJ5" s="14" t="s">
        <v>2</v>
      </c>
      <c r="DK5" s="14">
        <v>1.0903308626145416</v>
      </c>
      <c r="DL5" s="22">
        <v>-18.646802648964233</v>
      </c>
      <c r="DM5" s="22" t="s">
        <v>2</v>
      </c>
      <c r="DN5" s="22">
        <v>0.4161748941746008</v>
      </c>
      <c r="DQ5" s="23" t="s">
        <v>64</v>
      </c>
      <c r="DR5" s="23"/>
      <c r="DS5" s="23"/>
      <c r="DT5" s="24">
        <f>DL17-Z17</f>
        <v>4.6731746610116929</v>
      </c>
      <c r="DU5" s="25" t="s">
        <v>2</v>
      </c>
      <c r="DV5" s="24">
        <f>SQRT(1/(1/DN17^2+1/AB17^2))</f>
        <v>9.7556185916036833E-2</v>
      </c>
    </row>
    <row r="6" spans="1:126" x14ac:dyDescent="0.2">
      <c r="A6">
        <v>771</v>
      </c>
      <c r="B6" s="106">
        <v>-25.880642822299404</v>
      </c>
      <c r="C6" s="106" t="s">
        <v>2</v>
      </c>
      <c r="D6" s="106">
        <v>2.3011626805643468</v>
      </c>
      <c r="E6" s="106">
        <v>-25.461925643006534</v>
      </c>
      <c r="F6" s="106" t="s">
        <v>2</v>
      </c>
      <c r="G6" s="106">
        <v>2.3219081823428573</v>
      </c>
      <c r="H6" s="106">
        <v>-22.123986852453868</v>
      </c>
      <c r="I6" s="106" t="s">
        <v>2</v>
      </c>
      <c r="J6" s="106">
        <v>1.4420831089877568</v>
      </c>
      <c r="K6" s="107">
        <v>-23.695280112617677</v>
      </c>
      <c r="L6" s="107" t="s">
        <v>2</v>
      </c>
      <c r="M6" s="107">
        <v>0.8719945142165384</v>
      </c>
      <c r="N6" s="107">
        <v>-19.848011495087746</v>
      </c>
      <c r="O6" s="107" t="s">
        <v>2</v>
      </c>
      <c r="P6" s="107">
        <v>2.2749058752742686</v>
      </c>
      <c r="Q6" s="108">
        <v>-21.586633604080198</v>
      </c>
      <c r="R6" s="108" t="s">
        <v>2</v>
      </c>
      <c r="S6" s="108">
        <v>1.6239223124355842</v>
      </c>
      <c r="T6" s="106">
        <v>-20.698029015589704</v>
      </c>
      <c r="U6" s="106" t="s">
        <v>2</v>
      </c>
      <c r="V6" s="106">
        <v>1.627278951121238</v>
      </c>
      <c r="W6" s="106">
        <v>-20.947105254262354</v>
      </c>
      <c r="X6" s="106" t="s">
        <v>2</v>
      </c>
      <c r="Y6" s="106">
        <v>2.2357594253902904</v>
      </c>
      <c r="Z6" s="4">
        <v>-23.306837614108122</v>
      </c>
      <c r="AA6" s="9" t="s">
        <v>2</v>
      </c>
      <c r="AB6" s="4">
        <v>0.59589259344636203</v>
      </c>
      <c r="AF6" s="90">
        <v>-17.72474841674676</v>
      </c>
      <c r="AG6" s="90" t="s">
        <v>2</v>
      </c>
      <c r="AH6" s="90">
        <v>1.4055399397381099</v>
      </c>
      <c r="AI6" s="94">
        <v>-18.441845157323613</v>
      </c>
      <c r="AJ6" s="94" t="s">
        <v>2</v>
      </c>
      <c r="AK6" s="94">
        <v>1.8899224366783429</v>
      </c>
      <c r="AL6" s="91">
        <v>-17.529604769208508</v>
      </c>
      <c r="AM6" s="91" t="s">
        <v>2</v>
      </c>
      <c r="AN6" s="91">
        <v>3.065904657223038</v>
      </c>
      <c r="AO6" s="90">
        <v>-21.155786690122635</v>
      </c>
      <c r="AP6" s="90" t="s">
        <v>2</v>
      </c>
      <c r="AQ6" s="90">
        <v>2.3165113324670505</v>
      </c>
      <c r="AR6" s="90">
        <v>-19.7852180043209</v>
      </c>
      <c r="AS6" s="90" t="s">
        <v>2</v>
      </c>
      <c r="AT6" s="90">
        <v>2.1123730255957738</v>
      </c>
      <c r="AU6" s="92">
        <v>-16.593069072184385</v>
      </c>
      <c r="AV6" s="93" t="s">
        <v>2</v>
      </c>
      <c r="AW6" s="93">
        <v>3.5182361909229511</v>
      </c>
      <c r="AX6" s="97">
        <v>-19.927029439517074</v>
      </c>
      <c r="AY6" s="97" t="s">
        <v>2</v>
      </c>
      <c r="AZ6" s="97">
        <v>2.4717644317561356</v>
      </c>
      <c r="BA6" s="99"/>
      <c r="BB6" s="99"/>
      <c r="BC6" s="99"/>
      <c r="BD6" s="97">
        <v>-15.170293625905495</v>
      </c>
      <c r="BE6" s="97" t="s">
        <v>2</v>
      </c>
      <c r="BF6" s="97">
        <v>2.2414449387478568</v>
      </c>
      <c r="BG6" s="97">
        <v>-19.402405520415723</v>
      </c>
      <c r="BH6" s="97" t="s">
        <v>2</v>
      </c>
      <c r="BI6" s="97">
        <v>1.7021195832446645</v>
      </c>
      <c r="BJ6" s="97">
        <v>-16.617193658392647</v>
      </c>
      <c r="BK6" s="97" t="s">
        <v>2</v>
      </c>
      <c r="BL6" s="97">
        <v>1.5428249902308471</v>
      </c>
      <c r="BM6" s="97">
        <v>-24.245223592840979</v>
      </c>
      <c r="BN6" s="97" t="s">
        <v>2</v>
      </c>
      <c r="BO6" s="97">
        <v>2.4840712635907058</v>
      </c>
      <c r="BP6" s="97">
        <v>-20.549512227198143</v>
      </c>
      <c r="BQ6" s="97" t="s">
        <v>2</v>
      </c>
      <c r="BR6" s="97">
        <v>2.2918424159392652</v>
      </c>
      <c r="BS6" s="97">
        <v>-15.736668318441559</v>
      </c>
      <c r="BT6" s="97" t="s">
        <v>2</v>
      </c>
      <c r="BU6" s="97">
        <v>1.8301823765243808</v>
      </c>
      <c r="BV6" s="97">
        <v>-19.470553282763149</v>
      </c>
      <c r="BW6" s="97" t="s">
        <v>2</v>
      </c>
      <c r="BX6" s="97">
        <v>2.4428882920751396</v>
      </c>
      <c r="BY6" s="97">
        <v>-19.55562837480851</v>
      </c>
      <c r="BZ6" s="97" t="s">
        <v>2</v>
      </c>
      <c r="CA6" s="97">
        <v>2.2530436316951414</v>
      </c>
      <c r="CB6" s="97">
        <v>-17.290554913740543</v>
      </c>
      <c r="CC6" s="97" t="s">
        <v>2</v>
      </c>
      <c r="CD6" s="97">
        <v>1.8052376116115787</v>
      </c>
      <c r="CE6" s="100">
        <v>-16.036207686388583</v>
      </c>
      <c r="CF6" s="100" t="s">
        <v>2</v>
      </c>
      <c r="CG6" s="100">
        <v>2.2014818239041984</v>
      </c>
      <c r="CH6" s="98">
        <v>-22.6479990871421</v>
      </c>
      <c r="CI6" s="98" t="s">
        <v>2</v>
      </c>
      <c r="CJ6" s="98">
        <v>1.9296973241311566</v>
      </c>
      <c r="CK6" s="99">
        <v>-20.801699442591136</v>
      </c>
      <c r="CL6" s="99" t="s">
        <v>2</v>
      </c>
      <c r="CM6" s="99">
        <v>2.2876070493708522</v>
      </c>
      <c r="CN6" s="1">
        <v>-17.859945119521491</v>
      </c>
      <c r="CO6" s="1" t="s">
        <v>2</v>
      </c>
      <c r="CP6" s="1">
        <v>1.5118758633504186</v>
      </c>
      <c r="CQ6" s="1">
        <v>-18.547444004683111</v>
      </c>
      <c r="CR6" s="1" t="s">
        <v>2</v>
      </c>
      <c r="CS6" s="1">
        <v>2.3488198140129088</v>
      </c>
      <c r="CT6" s="17">
        <v>-15.1485647459203</v>
      </c>
      <c r="CU6" s="17" t="s">
        <v>2</v>
      </c>
      <c r="CV6" s="17">
        <v>2.4644639233218042</v>
      </c>
      <c r="CW6" s="17">
        <v>-15.209125930266577</v>
      </c>
      <c r="CX6" s="17" t="s">
        <v>2</v>
      </c>
      <c r="CY6" s="17">
        <v>3.9817308818362807</v>
      </c>
      <c r="CZ6" s="1">
        <v>-20.376118601852067</v>
      </c>
      <c r="DA6" s="1" t="s">
        <v>2</v>
      </c>
      <c r="DB6" s="1">
        <v>2.116270384663264</v>
      </c>
      <c r="DC6" s="18">
        <v>-17.607833492208179</v>
      </c>
      <c r="DD6" s="18" t="s">
        <v>2</v>
      </c>
      <c r="DE6" s="18">
        <v>1.8830207456131371</v>
      </c>
      <c r="DF6" s="17">
        <v>-18.671692257565155</v>
      </c>
      <c r="DG6" s="17" t="s">
        <v>2</v>
      </c>
      <c r="DH6" s="17">
        <v>2.3698344252884995</v>
      </c>
      <c r="DI6" s="14">
        <v>-18.920385149792441</v>
      </c>
      <c r="DJ6" s="14" t="s">
        <v>2</v>
      </c>
      <c r="DK6" s="14">
        <v>1.0949563758039047</v>
      </c>
      <c r="DL6" s="22">
        <v>-18.462532559751278</v>
      </c>
      <c r="DM6" s="22" t="s">
        <v>2</v>
      </c>
      <c r="DN6" s="22">
        <v>0.42408164805205772</v>
      </c>
      <c r="DQ6" t="s">
        <v>65</v>
      </c>
      <c r="DT6" s="20">
        <f>AVERAGE(DL17,Z17)</f>
        <v>-12.805017021637394</v>
      </c>
    </row>
    <row r="7" spans="1:126" x14ac:dyDescent="0.2">
      <c r="A7">
        <v>772</v>
      </c>
      <c r="B7" s="106">
        <v>-21.060700221541275</v>
      </c>
      <c r="C7" s="106" t="s">
        <v>2</v>
      </c>
      <c r="D7" s="106">
        <v>2.2234198958204905</v>
      </c>
      <c r="E7" s="106">
        <v>-24.149226822754333</v>
      </c>
      <c r="F7" s="106" t="s">
        <v>2</v>
      </c>
      <c r="G7" s="106">
        <v>1.645024009230593</v>
      </c>
      <c r="H7" s="106">
        <v>-24.501904082688597</v>
      </c>
      <c r="I7" s="106" t="s">
        <v>2</v>
      </c>
      <c r="J7" s="106">
        <v>1.4377204525678051</v>
      </c>
      <c r="K7" s="107">
        <v>-22.232481248031121</v>
      </c>
      <c r="L7" s="107" t="s">
        <v>2</v>
      </c>
      <c r="M7" s="107">
        <v>0.78937794368219338</v>
      </c>
      <c r="N7" s="107">
        <v>-25.25456140866844</v>
      </c>
      <c r="O7" s="107" t="s">
        <v>2</v>
      </c>
      <c r="P7" s="107">
        <v>2.3374542450749969</v>
      </c>
      <c r="Q7" s="108">
        <v>-23.77035628285007</v>
      </c>
      <c r="R7" s="108" t="s">
        <v>2</v>
      </c>
      <c r="S7" s="108">
        <v>1.6163729425765412</v>
      </c>
      <c r="T7" s="106">
        <v>-22.119031700669755</v>
      </c>
      <c r="U7" s="106" t="s">
        <v>2</v>
      </c>
      <c r="V7" s="106">
        <v>1.6091496756741719</v>
      </c>
      <c r="W7" s="106">
        <v>-22.534474718075014</v>
      </c>
      <c r="X7" s="106" t="s">
        <v>2</v>
      </c>
      <c r="Y7" s="106">
        <v>2.2662986621350298</v>
      </c>
      <c r="Z7" s="4">
        <v>-23.142847150174561</v>
      </c>
      <c r="AA7" s="9" t="s">
        <v>2</v>
      </c>
      <c r="AB7" s="4">
        <v>0.55153459205167366</v>
      </c>
      <c r="AF7" s="90">
        <v>-18.804287800174848</v>
      </c>
      <c r="AG7" s="90" t="s">
        <v>2</v>
      </c>
      <c r="AH7" s="90">
        <v>1.210342543470883</v>
      </c>
      <c r="AI7" s="94">
        <v>-16.599423526886923</v>
      </c>
      <c r="AJ7" s="94" t="s">
        <v>2</v>
      </c>
      <c r="AK7" s="94">
        <v>1.0640854743440908</v>
      </c>
      <c r="AL7" s="91">
        <v>-22.341785224752385</v>
      </c>
      <c r="AM7" s="91" t="s">
        <v>2</v>
      </c>
      <c r="AN7" s="91">
        <v>3.0713416311141444</v>
      </c>
      <c r="AO7" s="90">
        <v>-18.359025157265396</v>
      </c>
      <c r="AP7" s="90" t="s">
        <v>2</v>
      </c>
      <c r="AQ7" s="90">
        <v>2.3264060952495598</v>
      </c>
      <c r="AR7" s="90">
        <v>-21.176872120089453</v>
      </c>
      <c r="AS7" s="90" t="s">
        <v>2</v>
      </c>
      <c r="AT7" s="90">
        <v>1.5518755756560025</v>
      </c>
      <c r="AU7" s="92">
        <v>-15.212927205256799</v>
      </c>
      <c r="AV7" s="93" t="s">
        <v>2</v>
      </c>
      <c r="AW7" s="93">
        <v>3.629976580796253</v>
      </c>
      <c r="AX7" s="97">
        <v>-15.797383967811939</v>
      </c>
      <c r="AY7" s="97" t="s">
        <v>2</v>
      </c>
      <c r="AZ7" s="97">
        <v>2.5313824094364659</v>
      </c>
      <c r="BA7" s="99"/>
      <c r="BB7" s="99"/>
      <c r="BC7" s="99"/>
      <c r="BD7" s="97">
        <v>-20.294990167759821</v>
      </c>
      <c r="BE7" s="97" t="s">
        <v>2</v>
      </c>
      <c r="BF7" s="97">
        <v>2.2762306581789828</v>
      </c>
      <c r="BG7" s="97">
        <v>-18.189473051084313</v>
      </c>
      <c r="BH7" s="97" t="s">
        <v>2</v>
      </c>
      <c r="BI7" s="97">
        <v>1.3629760750595403</v>
      </c>
      <c r="BJ7" s="97">
        <v>-18.026389761921948</v>
      </c>
      <c r="BK7" s="97" t="s">
        <v>2</v>
      </c>
      <c r="BL7" s="97">
        <v>1.6798851659868916</v>
      </c>
      <c r="BM7" s="97">
        <v>-19.866812120406863</v>
      </c>
      <c r="BN7" s="97" t="s">
        <v>2</v>
      </c>
      <c r="BO7" s="97">
        <v>2.4212496064684728</v>
      </c>
      <c r="BP7" s="97">
        <v>-22.122314366011754</v>
      </c>
      <c r="BQ7" s="97" t="s">
        <v>2</v>
      </c>
      <c r="BR7" s="97">
        <v>2.2861459746149886</v>
      </c>
      <c r="BS7" s="97">
        <v>-18.727483065547723</v>
      </c>
      <c r="BT7" s="97" t="s">
        <v>2</v>
      </c>
      <c r="BU7" s="97">
        <v>1.0477498422118836</v>
      </c>
      <c r="BV7" s="97">
        <v>-19.440688104746862</v>
      </c>
      <c r="BW7" s="97" t="s">
        <v>2</v>
      </c>
      <c r="BX7" s="97">
        <v>2.4441310447642963</v>
      </c>
      <c r="BY7" s="97">
        <v>-21.53225424357208</v>
      </c>
      <c r="BZ7" s="97" t="s">
        <v>2</v>
      </c>
      <c r="CA7" s="97">
        <v>2.2769077110907108</v>
      </c>
      <c r="CB7" s="97">
        <v>-22.072621781106804</v>
      </c>
      <c r="CC7" s="97" t="s">
        <v>2</v>
      </c>
      <c r="CD7" s="97">
        <v>1.8403394311747203</v>
      </c>
      <c r="CE7" s="100">
        <v>-17.678265984333198</v>
      </c>
      <c r="CF7" s="100" t="s">
        <v>2</v>
      </c>
      <c r="CG7" s="100">
        <v>1.5634588152054916</v>
      </c>
      <c r="CH7" s="98">
        <v>-21.356696779169624</v>
      </c>
      <c r="CI7" s="98" t="s">
        <v>2</v>
      </c>
      <c r="CJ7" s="98">
        <v>1.9357163268438438</v>
      </c>
      <c r="CK7" s="99">
        <v>-17.362271732113356</v>
      </c>
      <c r="CL7" s="99" t="s">
        <v>2</v>
      </c>
      <c r="CM7" s="99">
        <v>2.2630810008386737</v>
      </c>
      <c r="CN7" s="1">
        <v>-16.997041407287526</v>
      </c>
      <c r="CO7" s="1" t="s">
        <v>2</v>
      </c>
      <c r="CP7" s="1">
        <v>1.6750871604005682</v>
      </c>
      <c r="CQ7" s="1">
        <v>-15.288684581125978</v>
      </c>
      <c r="CR7" s="1" t="s">
        <v>2</v>
      </c>
      <c r="CS7" s="1">
        <v>2.354215954032711</v>
      </c>
      <c r="CT7" s="17">
        <v>-20.926465361226221</v>
      </c>
      <c r="CU7" s="17" t="s">
        <v>2</v>
      </c>
      <c r="CV7" s="17">
        <v>2.4630625106284518</v>
      </c>
      <c r="CW7" s="17">
        <v>-17.173276179204166</v>
      </c>
      <c r="CX7" s="17" t="s">
        <v>2</v>
      </c>
      <c r="CY7" s="17">
        <v>3.519887363604365</v>
      </c>
      <c r="CZ7" s="1">
        <v>-21.225947533690004</v>
      </c>
      <c r="DA7" s="1" t="s">
        <v>2</v>
      </c>
      <c r="DB7" s="1">
        <v>1.9917838914477781</v>
      </c>
      <c r="DC7" s="18">
        <v>-16.628854568872864</v>
      </c>
      <c r="DD7" s="18" t="s">
        <v>2</v>
      </c>
      <c r="DE7" s="18">
        <v>1.8954861071611713</v>
      </c>
      <c r="DF7" s="17">
        <v>-14.936423464254499</v>
      </c>
      <c r="DG7" s="17" t="s">
        <v>2</v>
      </c>
      <c r="DH7" s="17">
        <v>2.4555127289867351</v>
      </c>
      <c r="DI7" s="14">
        <v>-22.896043811787557</v>
      </c>
      <c r="DJ7" s="14" t="s">
        <v>2</v>
      </c>
      <c r="DK7" s="14">
        <v>1.1059153125640662</v>
      </c>
      <c r="DL7" s="22">
        <v>-18.780143846085394</v>
      </c>
      <c r="DM7" s="22" t="s">
        <v>2</v>
      </c>
      <c r="DN7" s="22">
        <v>0.367806909954288</v>
      </c>
    </row>
    <row r="8" spans="1:126" x14ac:dyDescent="0.2">
      <c r="A8">
        <v>773</v>
      </c>
      <c r="B8" s="106">
        <v>-17.467223078947434</v>
      </c>
      <c r="C8" s="106" t="s">
        <v>2</v>
      </c>
      <c r="D8" s="106">
        <v>2.3135246004138721</v>
      </c>
      <c r="E8" s="106">
        <v>-23.889053899681876</v>
      </c>
      <c r="F8" s="106" t="s">
        <v>2</v>
      </c>
      <c r="G8" s="106">
        <v>1.6295501614938244</v>
      </c>
      <c r="H8" s="106">
        <v>-19.228949523033002</v>
      </c>
      <c r="I8" s="106" t="s">
        <v>2</v>
      </c>
      <c r="J8" s="106">
        <v>1.4403580773390643</v>
      </c>
      <c r="K8" s="107">
        <v>-22.467421190387359</v>
      </c>
      <c r="L8" s="107" t="s">
        <v>2</v>
      </c>
      <c r="M8" s="107">
        <v>0.725022282495704</v>
      </c>
      <c r="N8" s="107">
        <v>-24.617643421753655</v>
      </c>
      <c r="O8" s="107" t="s">
        <v>2</v>
      </c>
      <c r="P8" s="107">
        <v>2.304085241043019</v>
      </c>
      <c r="Q8" s="108">
        <v>-21.805527306082652</v>
      </c>
      <c r="R8" s="108" t="s">
        <v>2</v>
      </c>
      <c r="S8" s="108">
        <v>1.6161946279149948</v>
      </c>
      <c r="T8" s="106">
        <v>-23.660495279863024</v>
      </c>
      <c r="U8" s="106" t="s">
        <v>2</v>
      </c>
      <c r="V8" s="106">
        <v>1.6156972006059767</v>
      </c>
      <c r="W8" s="106">
        <v>-17.853214570313302</v>
      </c>
      <c r="X8" s="106" t="s">
        <v>2</v>
      </c>
      <c r="Y8" s="106">
        <v>2.2731680795548694</v>
      </c>
      <c r="Z8" s="4">
        <v>-21.800553398522048</v>
      </c>
      <c r="AA8" s="9" t="s">
        <v>2</v>
      </c>
      <c r="AB8" s="4">
        <v>0.52888589570311295</v>
      </c>
      <c r="AF8" s="90">
        <v>-17.318986690971649</v>
      </c>
      <c r="AG8" s="90" t="s">
        <v>2</v>
      </c>
      <c r="AH8" s="90">
        <v>1.2206571103529171</v>
      </c>
      <c r="AI8" s="94">
        <v>-19.371996555815564</v>
      </c>
      <c r="AJ8" s="94" t="s">
        <v>2</v>
      </c>
      <c r="AK8" s="94">
        <v>1.8911987869689755</v>
      </c>
      <c r="AL8" s="91">
        <v>-22.814877693093095</v>
      </c>
      <c r="AM8" s="91" t="s">
        <v>2</v>
      </c>
      <c r="AN8" s="91">
        <v>3.0362533086812915</v>
      </c>
      <c r="AO8" s="90">
        <v>-24.858854509401173</v>
      </c>
      <c r="AP8" s="90" t="s">
        <v>2</v>
      </c>
      <c r="AQ8" s="90">
        <v>2.3078065205649314</v>
      </c>
      <c r="AR8" s="90">
        <v>-21.107896460159203</v>
      </c>
      <c r="AS8" s="90" t="s">
        <v>2</v>
      </c>
      <c r="AT8" s="90">
        <v>1.5479948753355686</v>
      </c>
      <c r="AU8" s="92">
        <v>-17.40745522242948</v>
      </c>
      <c r="AV8" s="93" t="s">
        <v>2</v>
      </c>
      <c r="AW8" s="93">
        <v>3.5203003989673789</v>
      </c>
      <c r="AX8" s="97">
        <v>-23.379697310314196</v>
      </c>
      <c r="AY8" s="97" t="s">
        <v>2</v>
      </c>
      <c r="AZ8" s="97">
        <v>2.4773746187927594</v>
      </c>
      <c r="BA8" s="97">
        <v>-23.189819170644999</v>
      </c>
      <c r="BB8" s="97" t="s">
        <v>2</v>
      </c>
      <c r="BC8" s="97">
        <v>2.1575718395371579</v>
      </c>
      <c r="BD8" s="97">
        <v>-20.854589493433995</v>
      </c>
      <c r="BE8" s="97" t="s">
        <v>2</v>
      </c>
      <c r="BF8" s="97">
        <v>2.2217377795606876</v>
      </c>
      <c r="BG8" s="97">
        <v>-21.89394965962499</v>
      </c>
      <c r="BH8" s="97" t="s">
        <v>2</v>
      </c>
      <c r="BI8" s="97">
        <v>1.3688556192283914</v>
      </c>
      <c r="BJ8" s="97">
        <v>-20.591862114095804</v>
      </c>
      <c r="BK8" s="97" t="s">
        <v>2</v>
      </c>
      <c r="BL8" s="97">
        <v>1.701764573156431</v>
      </c>
      <c r="BM8" s="97">
        <v>-16.781426390790166</v>
      </c>
      <c r="BN8" s="97" t="s">
        <v>2</v>
      </c>
      <c r="BO8" s="97">
        <v>2.5015390518615521</v>
      </c>
      <c r="BP8" s="97">
        <v>-18.796241667449308</v>
      </c>
      <c r="BQ8" s="97" t="s">
        <v>2</v>
      </c>
      <c r="BR8" s="97">
        <v>1.6444836416839974</v>
      </c>
      <c r="BS8" s="97">
        <v>-18.88467526414772</v>
      </c>
      <c r="BT8" s="97" t="s">
        <v>2</v>
      </c>
      <c r="BU8" s="97">
        <v>1.0553538043515376</v>
      </c>
      <c r="BV8" s="97">
        <v>-18.157374597204456</v>
      </c>
      <c r="BW8" s="97" t="s">
        <v>2</v>
      </c>
      <c r="BX8" s="97">
        <v>2.4288507783203319</v>
      </c>
      <c r="BY8" s="97">
        <v>-20.22182659363725</v>
      </c>
      <c r="BZ8" s="97" t="s">
        <v>2</v>
      </c>
      <c r="CA8" s="97">
        <v>2.2355201300381959</v>
      </c>
      <c r="CB8" s="97">
        <v>-18.092651143104877</v>
      </c>
      <c r="CC8" s="97" t="s">
        <v>2</v>
      </c>
      <c r="CD8" s="97">
        <v>1.8239495740981027</v>
      </c>
      <c r="CE8" s="100">
        <v>-21.538976451524803</v>
      </c>
      <c r="CF8" s="100" t="s">
        <v>2</v>
      </c>
      <c r="CG8" s="100">
        <v>2.1994291483477353</v>
      </c>
      <c r="CH8" s="98">
        <v>-22.768853900808296</v>
      </c>
      <c r="CI8" s="98" t="s">
        <v>2</v>
      </c>
      <c r="CJ8" s="98">
        <v>1.9827148893178201</v>
      </c>
      <c r="CK8" s="99">
        <v>-17.949577193594578</v>
      </c>
      <c r="CL8" s="99" t="s">
        <v>2</v>
      </c>
      <c r="CM8" s="99">
        <v>2.2412617509702155</v>
      </c>
      <c r="CN8" s="16"/>
      <c r="CO8" s="16"/>
      <c r="CP8" s="16"/>
      <c r="CQ8" s="1">
        <v>-18.646752582503478</v>
      </c>
      <c r="CR8" s="1" t="s">
        <v>2</v>
      </c>
      <c r="CS8" s="1">
        <v>2.3522533750369021</v>
      </c>
      <c r="CT8" s="17">
        <v>-19.007417847825781</v>
      </c>
      <c r="CU8" s="17" t="s">
        <v>2</v>
      </c>
      <c r="CV8" s="17">
        <v>2.5214166299203091</v>
      </c>
      <c r="CW8" s="17">
        <v>-18.329860803070197</v>
      </c>
      <c r="CX8" s="17" t="s">
        <v>2</v>
      </c>
      <c r="CY8" s="17">
        <v>3.5236081747709656</v>
      </c>
      <c r="CZ8" s="1">
        <v>-16.948634523786254</v>
      </c>
      <c r="DA8" s="1" t="s">
        <v>2</v>
      </c>
      <c r="DB8" s="1">
        <v>1.9917838914477781</v>
      </c>
      <c r="DC8" s="18">
        <v>-17.798156910989515</v>
      </c>
      <c r="DD8" s="18" t="s">
        <v>2</v>
      </c>
      <c r="DE8" s="18">
        <v>1.9520839620021917</v>
      </c>
      <c r="DF8" s="17">
        <v>-15.283964253138604</v>
      </c>
      <c r="DG8" s="17" t="s">
        <v>2</v>
      </c>
      <c r="DH8" s="17">
        <v>2.4627888538592022</v>
      </c>
      <c r="DI8" s="14">
        <v>-21.355597211716315</v>
      </c>
      <c r="DJ8" s="14" t="s">
        <v>2</v>
      </c>
      <c r="DK8" s="14">
        <v>1.0802113864636702</v>
      </c>
      <c r="DL8" s="22">
        <v>-19.746558105262157</v>
      </c>
      <c r="DM8" s="22" t="s">
        <v>2</v>
      </c>
      <c r="DN8" s="22">
        <v>0.38935481968322683</v>
      </c>
      <c r="DQ8" t="s">
        <v>67</v>
      </c>
    </row>
    <row r="9" spans="1:126" x14ac:dyDescent="0.2">
      <c r="A9">
        <v>774</v>
      </c>
      <c r="B9" s="106">
        <v>-10.225258320852305</v>
      </c>
      <c r="C9" s="106" t="s">
        <v>2</v>
      </c>
      <c r="D9" s="106">
        <v>2.3134545658831267</v>
      </c>
      <c r="E9" s="106">
        <v>-12.763753470968586</v>
      </c>
      <c r="F9" s="106" t="s">
        <v>2</v>
      </c>
      <c r="G9" s="106">
        <v>1.6512414153082877</v>
      </c>
      <c r="H9" s="106">
        <v>-12.169220210714649</v>
      </c>
      <c r="I9" s="106" t="s">
        <v>2</v>
      </c>
      <c r="J9" s="106">
        <v>1.2190068151608591</v>
      </c>
      <c r="K9" s="107">
        <v>-16.685924163143628</v>
      </c>
      <c r="L9" s="107" t="s">
        <v>2</v>
      </c>
      <c r="M9" s="107">
        <v>0.78387806566977059</v>
      </c>
      <c r="N9" s="107">
        <v>-19.821647264883779</v>
      </c>
      <c r="O9" s="107" t="s">
        <v>2</v>
      </c>
      <c r="P9" s="107">
        <v>2.2661761493023609</v>
      </c>
      <c r="Q9" s="108">
        <v>-14.134506915205236</v>
      </c>
      <c r="R9" s="108" t="s">
        <v>2</v>
      </c>
      <c r="S9" s="108">
        <v>1.6205645345471253</v>
      </c>
      <c r="T9" s="106">
        <v>-15.250025011162016</v>
      </c>
      <c r="U9" s="106" t="s">
        <v>2</v>
      </c>
      <c r="V9" s="106">
        <v>1.623651582045625</v>
      </c>
      <c r="W9" s="106">
        <v>-12.703669051879807</v>
      </c>
      <c r="X9" s="106" t="s">
        <v>2</v>
      </c>
      <c r="Y9" s="106">
        <v>2.2941426905431506</v>
      </c>
      <c r="Z9" s="4">
        <v>-15.104286870883943</v>
      </c>
      <c r="AA9" s="9" t="s">
        <v>2</v>
      </c>
      <c r="AB9" s="4">
        <v>0.53614998484708543</v>
      </c>
      <c r="AF9" s="90">
        <v>-13.57470915701786</v>
      </c>
      <c r="AG9" s="90" t="s">
        <v>2</v>
      </c>
      <c r="AH9" s="90">
        <v>1.2093390377400206</v>
      </c>
      <c r="AI9" s="94">
        <v>-18.512402987547418</v>
      </c>
      <c r="AJ9" s="94" t="s">
        <v>2</v>
      </c>
      <c r="AK9" s="94">
        <v>1.2737647463429147</v>
      </c>
      <c r="AL9" s="91">
        <v>-15.495690565012765</v>
      </c>
      <c r="AM9" s="91" t="s">
        <v>2</v>
      </c>
      <c r="AN9" s="91">
        <v>3.1354197380010578</v>
      </c>
      <c r="AO9" s="90">
        <v>-11.288137624033133</v>
      </c>
      <c r="AP9" s="90" t="s">
        <v>2</v>
      </c>
      <c r="AQ9" s="90">
        <v>2.344066260447879</v>
      </c>
      <c r="AR9" s="90">
        <v>-17.318300874148875</v>
      </c>
      <c r="AS9" s="90" t="s">
        <v>2</v>
      </c>
      <c r="AT9" s="90">
        <v>1.5411568276830705</v>
      </c>
      <c r="AU9" s="92">
        <v>-17.065158237536295</v>
      </c>
      <c r="AV9" s="93" t="s">
        <v>2</v>
      </c>
      <c r="AW9" s="93">
        <v>3.5186488388458836</v>
      </c>
      <c r="AX9" s="97">
        <v>-15.121969378366407</v>
      </c>
      <c r="AY9" s="97" t="s">
        <v>2</v>
      </c>
      <c r="AZ9" s="97">
        <v>2.4761811030263092</v>
      </c>
      <c r="BA9" s="97">
        <v>-12.86918878698895</v>
      </c>
      <c r="BB9" s="97" t="s">
        <v>2</v>
      </c>
      <c r="BC9" s="97">
        <v>1.5089670885239195</v>
      </c>
      <c r="BD9" s="97">
        <v>-12.722446533893983</v>
      </c>
      <c r="BE9" s="97" t="s">
        <v>2</v>
      </c>
      <c r="BF9" s="97">
        <v>2.2157974946331298</v>
      </c>
      <c r="BG9" s="97">
        <v>-14.921148662906836</v>
      </c>
      <c r="BH9" s="97" t="s">
        <v>2</v>
      </c>
      <c r="BI9" s="97">
        <v>1.3600186145007593</v>
      </c>
      <c r="BJ9" s="97">
        <v>-18.384096418612607</v>
      </c>
      <c r="BK9" s="97" t="s">
        <v>2</v>
      </c>
      <c r="BL9" s="97">
        <v>1.7681211448780736</v>
      </c>
      <c r="BM9" s="97">
        <v>-14.929025247131577</v>
      </c>
      <c r="BN9" s="97" t="s">
        <v>2</v>
      </c>
      <c r="BO9" s="97">
        <v>2.5008317781979414</v>
      </c>
      <c r="BP9" s="97">
        <v>-14.889310012563218</v>
      </c>
      <c r="BQ9" s="97" t="s">
        <v>2</v>
      </c>
      <c r="BR9" s="97">
        <v>1.6174775211185042</v>
      </c>
      <c r="BS9" s="97">
        <v>-15.278179616941223</v>
      </c>
      <c r="BT9" s="97" t="s">
        <v>2</v>
      </c>
      <c r="BU9" s="97">
        <v>1.0623097376112409</v>
      </c>
      <c r="BV9" s="97">
        <v>-16.182373627059544</v>
      </c>
      <c r="BW9" s="97" t="s">
        <v>2</v>
      </c>
      <c r="BX9" s="97">
        <v>2.4305315516613879</v>
      </c>
      <c r="BY9" s="97">
        <v>-12.688553347967924</v>
      </c>
      <c r="BZ9" s="97" t="s">
        <v>2</v>
      </c>
      <c r="CA9" s="97">
        <v>2.286401808383383</v>
      </c>
      <c r="CB9" s="97">
        <v>-13.301364060738452</v>
      </c>
      <c r="CC9" s="97" t="s">
        <v>2</v>
      </c>
      <c r="CD9" s="97">
        <v>1.8145053820180372</v>
      </c>
      <c r="CE9" s="100">
        <v>-14.035285289086264</v>
      </c>
      <c r="CF9" s="100" t="s">
        <v>2</v>
      </c>
      <c r="CG9" s="100">
        <v>1.6021956254238194</v>
      </c>
      <c r="CH9" s="98">
        <v>-17.258494893726329</v>
      </c>
      <c r="CI9" s="98" t="s">
        <v>2</v>
      </c>
      <c r="CJ9" s="98">
        <v>1.9673292325235412</v>
      </c>
      <c r="CK9" s="99">
        <v>-21.465692005268046</v>
      </c>
      <c r="CL9" s="99" t="s">
        <v>2</v>
      </c>
      <c r="CM9" s="99">
        <v>2.2428207461364704</v>
      </c>
      <c r="CN9" s="17">
        <v>-11.895625391068476</v>
      </c>
      <c r="CO9" s="16" t="s">
        <v>2</v>
      </c>
      <c r="CP9" s="17">
        <v>1.4689392980995204</v>
      </c>
      <c r="CQ9" s="1">
        <v>-11.527097925608466</v>
      </c>
      <c r="CR9" s="1" t="s">
        <v>2</v>
      </c>
      <c r="CS9" s="1">
        <v>2.3491190992277384</v>
      </c>
      <c r="CT9" s="17">
        <v>-9.8259563226400495</v>
      </c>
      <c r="CU9" s="17" t="s">
        <v>2</v>
      </c>
      <c r="CV9" s="17">
        <v>2.5193215045367237</v>
      </c>
      <c r="CW9" s="17">
        <v>-11.646680925451513</v>
      </c>
      <c r="CX9" s="17" t="s">
        <v>2</v>
      </c>
      <c r="CY9" s="17">
        <v>3.4993584509506599</v>
      </c>
      <c r="CZ9" s="1">
        <v>-11.422749872706639</v>
      </c>
      <c r="DA9" s="1" t="s">
        <v>2</v>
      </c>
      <c r="DB9" s="1">
        <v>1.9917838914477781</v>
      </c>
      <c r="DC9" s="18">
        <v>-19.360169583217733</v>
      </c>
      <c r="DD9" s="18" t="s">
        <v>2</v>
      </c>
      <c r="DE9" s="18">
        <v>1.935453605889226</v>
      </c>
      <c r="DF9" s="17">
        <v>-16.247740687638569</v>
      </c>
      <c r="DG9" s="17" t="s">
        <v>2</v>
      </c>
      <c r="DH9" s="17">
        <v>2.3962571292554444</v>
      </c>
      <c r="DI9" s="14">
        <v>-18.489858031533245</v>
      </c>
      <c r="DJ9" s="14" t="s">
        <v>2</v>
      </c>
      <c r="DK9" s="14">
        <v>1.1106659030614665</v>
      </c>
      <c r="DL9" s="22">
        <v>-14.645220842554373</v>
      </c>
      <c r="DM9" s="22" t="s">
        <v>2</v>
      </c>
      <c r="DN9" s="22">
        <v>0.35786385522776371</v>
      </c>
      <c r="DQ9" s="23" t="s">
        <v>64</v>
      </c>
      <c r="DR9" s="23"/>
      <c r="DS9" s="23"/>
      <c r="DT9" s="24">
        <f>AL48-H48</f>
        <v>3.4756776867141035</v>
      </c>
      <c r="DU9" s="25" t="s">
        <v>2</v>
      </c>
      <c r="DV9" s="24">
        <f>SQRT(1/(1/AN48^2+1/J48^2))</f>
        <v>0.18296924232408993</v>
      </c>
    </row>
    <row r="10" spans="1:126" x14ac:dyDescent="0.2">
      <c r="A10">
        <v>775</v>
      </c>
      <c r="B10" s="106">
        <v>-6.2286899926026207</v>
      </c>
      <c r="C10" s="106" t="s">
        <v>2</v>
      </c>
      <c r="D10" s="106">
        <v>2.2568452083740449</v>
      </c>
      <c r="E10" s="106">
        <v>-8.3594723625237677</v>
      </c>
      <c r="F10" s="106" t="s">
        <v>2</v>
      </c>
      <c r="G10" s="106">
        <v>1.6170684695876003</v>
      </c>
      <c r="H10" s="106">
        <v>-8.6019618746491222</v>
      </c>
      <c r="I10" s="106" t="s">
        <v>2</v>
      </c>
      <c r="J10" s="106">
        <v>1.226351874962651</v>
      </c>
      <c r="K10" s="107">
        <v>-9.4039367293274889</v>
      </c>
      <c r="L10" s="107" t="s">
        <v>2</v>
      </c>
      <c r="M10" s="107">
        <v>0.73898315538262493</v>
      </c>
      <c r="N10" s="107">
        <v>-12.899215335660518</v>
      </c>
      <c r="O10" s="107" t="s">
        <v>2</v>
      </c>
      <c r="P10" s="107">
        <v>2.2739400808342221</v>
      </c>
      <c r="Q10" s="108">
        <v>-9.5240173216408763</v>
      </c>
      <c r="R10" s="108" t="s">
        <v>2</v>
      </c>
      <c r="S10" s="108">
        <v>1.5908024849452798</v>
      </c>
      <c r="T10" s="106">
        <v>-8.0872951186359288</v>
      </c>
      <c r="U10" s="106" t="s">
        <v>2</v>
      </c>
      <c r="V10" s="106">
        <v>1.6101277048890943</v>
      </c>
      <c r="W10" s="106">
        <v>-5.817789101526194</v>
      </c>
      <c r="X10" s="106" t="s">
        <v>2</v>
      </c>
      <c r="Y10" s="106">
        <v>2.2673046842517688</v>
      </c>
      <c r="Z10" s="4">
        <v>-9.0770321824067413</v>
      </c>
      <c r="AA10" s="9" t="s">
        <v>2</v>
      </c>
      <c r="AB10" s="4">
        <v>0.51873731665330347</v>
      </c>
      <c r="AF10" s="90">
        <v>-5.8344651694115512</v>
      </c>
      <c r="AG10" s="90" t="s">
        <v>2</v>
      </c>
      <c r="AH10" s="90">
        <v>1.2124757287906163</v>
      </c>
      <c r="AI10" s="90">
        <v>-8.1151669904452319</v>
      </c>
      <c r="AJ10" s="90" t="s">
        <v>2</v>
      </c>
      <c r="AK10" s="90">
        <v>1.4816184754728194</v>
      </c>
      <c r="AL10" s="91">
        <v>-6.4898140594920051</v>
      </c>
      <c r="AM10" s="91" t="s">
        <v>2</v>
      </c>
      <c r="AN10" s="91">
        <v>3.0653639513856725</v>
      </c>
      <c r="AO10" s="90">
        <v>-6.9432729529436132</v>
      </c>
      <c r="AP10" s="90" t="s">
        <v>2</v>
      </c>
      <c r="AQ10" s="90">
        <v>2.3309680006234355</v>
      </c>
      <c r="AR10" s="90">
        <v>-8.1652914805774301</v>
      </c>
      <c r="AS10" s="90" t="s">
        <v>2</v>
      </c>
      <c r="AT10" s="90">
        <v>1.5497657830935052</v>
      </c>
      <c r="AU10" s="92">
        <v>-3.2360400440546444</v>
      </c>
      <c r="AV10" s="93" t="s">
        <v>2</v>
      </c>
      <c r="AW10" s="93">
        <v>3.4694113565398408</v>
      </c>
      <c r="AX10" s="97">
        <v>-5.4248566130704612</v>
      </c>
      <c r="AY10" s="97" t="s">
        <v>2</v>
      </c>
      <c r="AZ10" s="97">
        <v>2.4573376154776407</v>
      </c>
      <c r="BA10" s="97">
        <v>-3.9494660367526135</v>
      </c>
      <c r="BB10" s="97" t="s">
        <v>2</v>
      </c>
      <c r="BC10" s="97">
        <v>1.1940629688512412</v>
      </c>
      <c r="BD10" s="97">
        <v>-9.7243886189293249</v>
      </c>
      <c r="BE10" s="97" t="s">
        <v>2</v>
      </c>
      <c r="BF10" s="97">
        <v>2.2140139105088061</v>
      </c>
      <c r="BG10" s="97">
        <v>-7.1956338486270921</v>
      </c>
      <c r="BH10" s="97" t="s">
        <v>2</v>
      </c>
      <c r="BI10" s="97">
        <v>1.3645242271280336</v>
      </c>
      <c r="BJ10" s="97">
        <v>-2.9942018005357784</v>
      </c>
      <c r="BK10" s="97" t="s">
        <v>2</v>
      </c>
      <c r="BL10" s="97">
        <v>1.7702511293064818</v>
      </c>
      <c r="BM10" s="97">
        <v>-1.3630064706983136</v>
      </c>
      <c r="BN10" s="97" t="s">
        <v>2</v>
      </c>
      <c r="BO10" s="97">
        <v>2.5140015887122389</v>
      </c>
      <c r="BP10" s="97">
        <v>-4.3179151005866556</v>
      </c>
      <c r="BQ10" s="97" t="s">
        <v>2</v>
      </c>
      <c r="BR10" s="97">
        <v>1.6116533996372417</v>
      </c>
      <c r="BS10" s="97">
        <v>-2.154071146788894</v>
      </c>
      <c r="BT10" s="97" t="s">
        <v>2</v>
      </c>
      <c r="BU10" s="97">
        <v>1.0467741088171634</v>
      </c>
      <c r="BV10" s="97">
        <v>-3.8877572055433518</v>
      </c>
      <c r="BW10" s="97" t="s">
        <v>2</v>
      </c>
      <c r="BX10" s="97">
        <v>2.4107919656731727</v>
      </c>
      <c r="BY10" s="97">
        <v>-2.8140960935566506</v>
      </c>
      <c r="BZ10" s="97" t="s">
        <v>2</v>
      </c>
      <c r="CA10" s="97">
        <v>2.292783035478291</v>
      </c>
      <c r="CB10" s="97">
        <v>0.9369666472640592</v>
      </c>
      <c r="CC10" s="97" t="s">
        <v>2</v>
      </c>
      <c r="CD10" s="97">
        <v>1.8017107252399762</v>
      </c>
      <c r="CE10" s="100">
        <v>-1.2405184932501312</v>
      </c>
      <c r="CF10" s="100" t="s">
        <v>2</v>
      </c>
      <c r="CG10" s="100">
        <v>1.5617909421933347</v>
      </c>
      <c r="CH10" s="98">
        <v>-6.253550424819343</v>
      </c>
      <c r="CI10" s="98" t="s">
        <v>2</v>
      </c>
      <c r="CJ10" s="98">
        <v>1.9779489556329068</v>
      </c>
      <c r="CK10" s="99">
        <v>-17.694727225889828</v>
      </c>
      <c r="CL10" s="99" t="s">
        <v>2</v>
      </c>
      <c r="CM10" s="99">
        <v>2.2312146266081418</v>
      </c>
      <c r="CN10" s="1">
        <v>2.1893240486325904</v>
      </c>
      <c r="CO10" s="1" t="s">
        <v>2</v>
      </c>
      <c r="CP10" s="1">
        <v>1.4359172160650187</v>
      </c>
      <c r="CQ10" s="1">
        <v>-0.15455124845653589</v>
      </c>
      <c r="CR10" s="1" t="s">
        <v>2</v>
      </c>
      <c r="CS10" s="1">
        <v>2.3357882236634553</v>
      </c>
      <c r="CT10" s="17">
        <v>-4.0325433342529582</v>
      </c>
      <c r="CU10" s="17" t="s">
        <v>2</v>
      </c>
      <c r="CV10" s="17">
        <v>2.4978228168349563</v>
      </c>
      <c r="CW10" s="17">
        <v>-2.4291303968139166</v>
      </c>
      <c r="CX10" s="17" t="s">
        <v>2</v>
      </c>
      <c r="CY10" s="17">
        <v>4.8532470533857177</v>
      </c>
      <c r="CZ10" s="1">
        <v>-6.1132851148196776</v>
      </c>
      <c r="DA10" s="1" t="s">
        <v>2</v>
      </c>
      <c r="DB10" s="1">
        <v>1.9917838914477781</v>
      </c>
      <c r="DC10" s="18">
        <v>-11.914520225445813</v>
      </c>
      <c r="DD10" s="18" t="s">
        <v>2</v>
      </c>
      <c r="DE10" s="18">
        <v>1.9328008940459083</v>
      </c>
      <c r="DF10" s="17">
        <v>-5.6900153939396514</v>
      </c>
      <c r="DG10" s="17" t="s">
        <v>2</v>
      </c>
      <c r="DH10" s="17">
        <v>2.3870625028064363</v>
      </c>
      <c r="DI10" s="14">
        <v>-11.565692076537125</v>
      </c>
      <c r="DJ10" s="14" t="s">
        <v>2</v>
      </c>
      <c r="DK10" s="14">
        <v>1.0830812254947595</v>
      </c>
      <c r="DL10" s="22">
        <v>-4.2727724793556465</v>
      </c>
      <c r="DM10" s="22" t="s">
        <v>2</v>
      </c>
      <c r="DN10" s="22">
        <v>0.3580625104346139</v>
      </c>
      <c r="DQ10" t="s">
        <v>65</v>
      </c>
      <c r="DT10" s="20">
        <f>AVERAGE(AL48,H48)</f>
        <v>-15.753307147032425</v>
      </c>
    </row>
    <row r="11" spans="1:126" x14ac:dyDescent="0.2">
      <c r="A11">
        <v>776</v>
      </c>
      <c r="B11" s="106">
        <v>-5.6913212360529819</v>
      </c>
      <c r="C11" s="106" t="s">
        <v>2</v>
      </c>
      <c r="D11" s="106">
        <v>2.2650878513175998</v>
      </c>
      <c r="E11" s="106">
        <v>-5.7716142922678015</v>
      </c>
      <c r="F11" s="106" t="s">
        <v>2</v>
      </c>
      <c r="G11" s="106">
        <v>1.627368074448259</v>
      </c>
      <c r="H11" s="106">
        <v>-9.4172759198534184</v>
      </c>
      <c r="I11" s="106" t="s">
        <v>2</v>
      </c>
      <c r="J11" s="106">
        <v>1.4419349075697394</v>
      </c>
      <c r="K11" s="107">
        <v>-7.3418488377658964</v>
      </c>
      <c r="L11" s="107" t="s">
        <v>2</v>
      </c>
      <c r="M11" s="107">
        <v>0.80763971953938773</v>
      </c>
      <c r="N11" s="107">
        <v>-10.293891936398293</v>
      </c>
      <c r="O11" s="107" t="s">
        <v>2</v>
      </c>
      <c r="P11" s="107">
        <v>2.2921152762217485</v>
      </c>
      <c r="Q11" s="108">
        <v>-7.8359804653482801</v>
      </c>
      <c r="R11" s="108" t="s">
        <v>2</v>
      </c>
      <c r="S11" s="108">
        <v>1.6722447015578179</v>
      </c>
      <c r="T11" s="106">
        <v>-6.5171207293700517</v>
      </c>
      <c r="U11" s="106" t="s">
        <v>2</v>
      </c>
      <c r="V11" s="106">
        <v>1.6359645082104664</v>
      </c>
      <c r="W11" s="106">
        <v>-7.6072237375938156</v>
      </c>
      <c r="X11" s="106" t="s">
        <v>2</v>
      </c>
      <c r="Y11" s="106">
        <v>2.2889632813149965</v>
      </c>
      <c r="Z11" s="4">
        <v>-7.9029698249606373</v>
      </c>
      <c r="AA11" s="9" t="s">
        <v>2</v>
      </c>
      <c r="AB11" s="4">
        <v>0.55684498126917259</v>
      </c>
      <c r="AF11" s="90">
        <v>-1.7244024236184874</v>
      </c>
      <c r="AG11" s="90" t="s">
        <v>2</v>
      </c>
      <c r="AH11" s="90">
        <v>1.208347920005312</v>
      </c>
      <c r="AI11" s="90">
        <v>-3.8297036139351981</v>
      </c>
      <c r="AJ11" s="90" t="s">
        <v>2</v>
      </c>
      <c r="AK11" s="90">
        <v>1.3023969823855208</v>
      </c>
      <c r="AL11" s="91">
        <v>-6.648053365299833</v>
      </c>
      <c r="AM11" s="91" t="s">
        <v>2</v>
      </c>
      <c r="AN11" s="91">
        <v>2.9656354654350841</v>
      </c>
      <c r="AO11" s="90">
        <v>-3.1876579890288692</v>
      </c>
      <c r="AP11" s="90" t="s">
        <v>2</v>
      </c>
      <c r="AQ11" s="90">
        <v>2.3491704287227342</v>
      </c>
      <c r="AR11" s="90">
        <v>-3.1759993173853251</v>
      </c>
      <c r="AS11" s="90" t="s">
        <v>2</v>
      </c>
      <c r="AT11" s="90">
        <v>1.5314383602171371</v>
      </c>
      <c r="AU11" s="92">
        <v>-3.587121903470103</v>
      </c>
      <c r="AV11" s="93" t="s">
        <v>2</v>
      </c>
      <c r="AW11" s="93">
        <v>3.5858877964141125</v>
      </c>
      <c r="AX11" s="97">
        <v>-0.23679370915863363</v>
      </c>
      <c r="AY11" s="97" t="s">
        <v>2</v>
      </c>
      <c r="AZ11" s="97">
        <v>2.4959315648444718</v>
      </c>
      <c r="BA11" s="97">
        <v>-2.9013113298026472</v>
      </c>
      <c r="BB11" s="97" t="s">
        <v>2</v>
      </c>
      <c r="BC11" s="97">
        <v>1.1825484241341004</v>
      </c>
      <c r="BD11" s="97">
        <v>-6.4990355269370914</v>
      </c>
      <c r="BE11" s="97" t="s">
        <v>2</v>
      </c>
      <c r="BF11" s="97">
        <v>2.2428681684717451</v>
      </c>
      <c r="BG11" s="97">
        <v>-1.7448830342263744</v>
      </c>
      <c r="BH11" s="97" t="s">
        <v>2</v>
      </c>
      <c r="BI11" s="97">
        <v>1.3660277264980081</v>
      </c>
      <c r="BJ11" s="97">
        <v>0.80069085922507277</v>
      </c>
      <c r="BK11" s="97" t="s">
        <v>2</v>
      </c>
      <c r="BL11" s="97">
        <v>1.8040581981301844</v>
      </c>
      <c r="BM11" s="97">
        <v>-0.28456264878207183</v>
      </c>
      <c r="BN11" s="97" t="s">
        <v>2</v>
      </c>
      <c r="BO11" s="97">
        <v>2.4492526238097594</v>
      </c>
      <c r="BP11" s="97">
        <v>-4.1975775694398365</v>
      </c>
      <c r="BQ11" s="97" t="s">
        <v>2</v>
      </c>
      <c r="BR11" s="97">
        <v>2.2820676363327617</v>
      </c>
      <c r="BS11" s="97">
        <v>-0.24338600187778781</v>
      </c>
      <c r="BT11" s="97" t="s">
        <v>2</v>
      </c>
      <c r="BU11" s="97">
        <v>1.0442843243883848</v>
      </c>
      <c r="BV11" s="97">
        <v>2.13896714133055</v>
      </c>
      <c r="BW11" s="97" t="s">
        <v>2</v>
      </c>
      <c r="BX11" s="97">
        <v>2.3928044021579704</v>
      </c>
      <c r="BY11" s="97">
        <v>-6.0577856004069286</v>
      </c>
      <c r="BZ11" s="97" t="s">
        <v>2</v>
      </c>
      <c r="CA11" s="97">
        <v>2.2767047583924103</v>
      </c>
      <c r="CB11" s="97">
        <v>-0.21396942506313188</v>
      </c>
      <c r="CC11" s="97" t="s">
        <v>2</v>
      </c>
      <c r="CD11" s="97">
        <v>1.8116586261600918</v>
      </c>
      <c r="CE11" s="100">
        <v>-2.5361552826947964</v>
      </c>
      <c r="CF11" s="100" t="s">
        <v>2</v>
      </c>
      <c r="CG11" s="100">
        <v>2.1478747780186063</v>
      </c>
      <c r="CH11" s="98">
        <v>-2.8476395941876564</v>
      </c>
      <c r="CI11" s="98" t="s">
        <v>2</v>
      </c>
      <c r="CJ11" s="98">
        <v>1.9698670515609367</v>
      </c>
      <c r="CK11" s="99">
        <v>-7.5052769382950579</v>
      </c>
      <c r="CL11" s="99" t="s">
        <v>2</v>
      </c>
      <c r="CM11" s="99">
        <v>2.2366760465666475</v>
      </c>
      <c r="CN11" s="1">
        <v>0.4003009722644002</v>
      </c>
      <c r="CO11" s="1" t="s">
        <v>2</v>
      </c>
      <c r="CP11" s="1">
        <v>1.708511656434027</v>
      </c>
      <c r="CQ11" s="1">
        <v>-1.5018373076449709</v>
      </c>
      <c r="CR11" s="1" t="s">
        <v>2</v>
      </c>
      <c r="CS11" s="1">
        <v>2.3406925308333832</v>
      </c>
      <c r="CT11" s="17">
        <v>-2.6086121582029609</v>
      </c>
      <c r="CU11" s="17" t="s">
        <v>2</v>
      </c>
      <c r="CV11" s="17">
        <v>2.4669314274157963</v>
      </c>
      <c r="CW11" s="17">
        <v>2.175821289685187</v>
      </c>
      <c r="CX11" s="17" t="s">
        <v>2</v>
      </c>
      <c r="CY11" s="17">
        <v>3.565267395054629</v>
      </c>
      <c r="CZ11" s="1">
        <v>-2.6394129184634796</v>
      </c>
      <c r="DA11" s="1" t="s">
        <v>2</v>
      </c>
      <c r="DB11" s="1">
        <v>1.9917838914477781</v>
      </c>
      <c r="DC11" s="18">
        <v>-3.2521516948710305</v>
      </c>
      <c r="DD11" s="18" t="s">
        <v>2</v>
      </c>
      <c r="DE11" s="18">
        <v>1.9210477429426591</v>
      </c>
      <c r="DF11" s="17">
        <v>-1.5150714926415176E-2</v>
      </c>
      <c r="DG11" s="17" t="s">
        <v>2</v>
      </c>
      <c r="DH11" s="17">
        <v>2.432854084958151</v>
      </c>
      <c r="DI11" s="14">
        <v>-7.171544879856051</v>
      </c>
      <c r="DJ11" s="14" t="s">
        <v>2</v>
      </c>
      <c r="DK11" s="14">
        <v>1.0837650133283081</v>
      </c>
      <c r="DL11" s="22">
        <v>-2.012786801215638</v>
      </c>
      <c r="DM11" s="22" t="s">
        <v>2</v>
      </c>
      <c r="DN11" s="22">
        <v>0.36735674626211889</v>
      </c>
    </row>
    <row r="12" spans="1:126" x14ac:dyDescent="0.2">
      <c r="A12">
        <v>777</v>
      </c>
      <c r="B12" s="106">
        <v>-13.344973611395972</v>
      </c>
      <c r="C12" s="106" t="s">
        <v>2</v>
      </c>
      <c r="D12" s="106">
        <v>2.2366698766813511</v>
      </c>
      <c r="E12" s="106">
        <v>-7.9053982092661679</v>
      </c>
      <c r="F12" s="106" t="s">
        <v>2</v>
      </c>
      <c r="G12" s="106">
        <v>1.5448323656749867</v>
      </c>
      <c r="H12" s="106">
        <v>-8.9415663026859438</v>
      </c>
      <c r="I12" s="106" t="s">
        <v>2</v>
      </c>
      <c r="J12" s="106">
        <v>1.4399894313525392</v>
      </c>
      <c r="K12" s="107">
        <v>-8.9545481409673009</v>
      </c>
      <c r="L12" s="107" t="s">
        <v>2</v>
      </c>
      <c r="M12" s="107">
        <v>0.86907904081485288</v>
      </c>
      <c r="N12" s="107">
        <v>-8.3561362385758962</v>
      </c>
      <c r="O12" s="107" t="s">
        <v>2</v>
      </c>
      <c r="P12" s="107">
        <v>2.3081359039523086</v>
      </c>
      <c r="Q12" s="108">
        <v>-10.277999260093651</v>
      </c>
      <c r="R12" s="108" t="s">
        <v>2</v>
      </c>
      <c r="S12" s="108">
        <v>1.6106559926100266</v>
      </c>
      <c r="T12" s="106">
        <v>-8.7566178887557022</v>
      </c>
      <c r="U12" s="106" t="s">
        <v>2</v>
      </c>
      <c r="V12" s="106">
        <v>1.5963041210571292</v>
      </c>
      <c r="W12" s="106">
        <v>-6.4692178874393713</v>
      </c>
      <c r="X12" s="106" t="s">
        <v>2</v>
      </c>
      <c r="Y12" s="106">
        <v>2.3417535838501964</v>
      </c>
      <c r="Z12" s="4">
        <v>-9.0094085187730766</v>
      </c>
      <c r="AA12" s="9" t="s">
        <v>2</v>
      </c>
      <c r="AB12" s="4">
        <v>0.57305295963287006</v>
      </c>
      <c r="AF12" s="90">
        <v>-3.1552755311868852</v>
      </c>
      <c r="AG12" s="90" t="s">
        <v>2</v>
      </c>
      <c r="AH12" s="90">
        <v>1.2163380281240641</v>
      </c>
      <c r="AI12" s="90">
        <v>-3.4411219886166799</v>
      </c>
      <c r="AJ12" s="90" t="s">
        <v>2</v>
      </c>
      <c r="AK12" s="90">
        <v>1.4871288191500029</v>
      </c>
      <c r="AL12" s="91">
        <v>-8.4921161363838991</v>
      </c>
      <c r="AM12" s="91" t="s">
        <v>2</v>
      </c>
      <c r="AN12" s="91">
        <v>3.5592633521023846</v>
      </c>
      <c r="AO12" s="90">
        <v>-4.6498750876886596</v>
      </c>
      <c r="AP12" s="90" t="s">
        <v>2</v>
      </c>
      <c r="AQ12" s="90">
        <v>2.3455341987092106</v>
      </c>
      <c r="AR12" s="90">
        <v>-6.5887164847570068</v>
      </c>
      <c r="AS12" s="90" t="s">
        <v>2</v>
      </c>
      <c r="AT12" s="90">
        <v>1.5343466794491529</v>
      </c>
      <c r="AU12" s="92">
        <v>-3.24666387920447</v>
      </c>
      <c r="AV12" s="93" t="s">
        <v>2</v>
      </c>
      <c r="AW12" s="93">
        <v>3.4686090877558104</v>
      </c>
      <c r="AX12" s="97">
        <v>-3.7800096339503098</v>
      </c>
      <c r="AY12" s="97" t="s">
        <v>2</v>
      </c>
      <c r="AZ12" s="97">
        <v>2.4777857312999827</v>
      </c>
      <c r="BA12" s="97">
        <v>-3.660782021074116</v>
      </c>
      <c r="BB12" s="97" t="s">
        <v>2</v>
      </c>
      <c r="BC12" s="97">
        <v>2.0530642206906853</v>
      </c>
      <c r="BD12" s="97">
        <v>-1.4446901017036717</v>
      </c>
      <c r="BE12" s="97" t="s">
        <v>2</v>
      </c>
      <c r="BF12" s="97">
        <v>2.2248475632902238</v>
      </c>
      <c r="BG12" s="97">
        <v>-5.4857316479373086</v>
      </c>
      <c r="BH12" s="97" t="s">
        <v>2</v>
      </c>
      <c r="BI12" s="97">
        <v>1.6827013982462544</v>
      </c>
      <c r="BJ12" s="97">
        <v>2.9075436442085323</v>
      </c>
      <c r="BK12" s="97" t="s">
        <v>2</v>
      </c>
      <c r="BL12" s="97">
        <v>1.8397365702837929</v>
      </c>
      <c r="BM12" s="97">
        <v>-1.6187278984817199</v>
      </c>
      <c r="BN12" s="97" t="s">
        <v>2</v>
      </c>
      <c r="BO12" s="97">
        <v>2.5027715779395217</v>
      </c>
      <c r="BP12" s="97">
        <v>-1.893218174393474</v>
      </c>
      <c r="BQ12" s="97" t="s">
        <v>2</v>
      </c>
      <c r="BR12" s="97">
        <v>2.2967790149644829</v>
      </c>
      <c r="BS12" s="97">
        <v>-0.1756859215511497</v>
      </c>
      <c r="BT12" s="97" t="s">
        <v>2</v>
      </c>
      <c r="BU12" s="97">
        <v>1.2833876972916345</v>
      </c>
      <c r="BV12" s="97">
        <v>0.28174250192969374</v>
      </c>
      <c r="BW12" s="97" t="s">
        <v>2</v>
      </c>
      <c r="BX12" s="97">
        <v>2.4113034141472194</v>
      </c>
      <c r="BY12" s="97">
        <v>-2.6454403812213867</v>
      </c>
      <c r="BZ12" s="97" t="s">
        <v>2</v>
      </c>
      <c r="CA12" s="97">
        <v>2.2237702909134391</v>
      </c>
      <c r="CB12" s="97">
        <v>-0.84367870737045436</v>
      </c>
      <c r="CC12" s="97" t="s">
        <v>2</v>
      </c>
      <c r="CD12" s="97">
        <v>1.8149291816935167</v>
      </c>
      <c r="CE12" s="100"/>
      <c r="CF12" s="100"/>
      <c r="CG12" s="100"/>
      <c r="CH12" s="98">
        <v>-3.0410997483197866</v>
      </c>
      <c r="CI12" s="98" t="s">
        <v>2</v>
      </c>
      <c r="CJ12" s="98">
        <v>1.9586461294186865</v>
      </c>
      <c r="CK12" s="99">
        <v>-3.7595378452506267</v>
      </c>
      <c r="CL12" s="99" t="s">
        <v>2</v>
      </c>
      <c r="CM12" s="99">
        <v>2.2376578486418466</v>
      </c>
      <c r="CN12" s="1">
        <v>-2.2739416016026581</v>
      </c>
      <c r="CO12" s="1" t="s">
        <v>2</v>
      </c>
      <c r="CP12" s="1">
        <v>2.569894653943261</v>
      </c>
      <c r="CQ12" s="1">
        <v>-3.6293450660298543</v>
      </c>
      <c r="CR12" s="1" t="s">
        <v>2</v>
      </c>
      <c r="CS12" s="1">
        <v>2.3234036522997115</v>
      </c>
      <c r="CT12" s="17">
        <v>-0.28256017856409521</v>
      </c>
      <c r="CU12" s="17" t="s">
        <v>2</v>
      </c>
      <c r="CV12" s="17">
        <v>2.4811213085064772</v>
      </c>
      <c r="CW12" s="17">
        <v>1.5936228726829427</v>
      </c>
      <c r="CX12" s="17" t="s">
        <v>2</v>
      </c>
      <c r="CY12" s="17">
        <v>3.451846738004833</v>
      </c>
      <c r="CZ12" s="1">
        <v>-2.8841843931447508</v>
      </c>
      <c r="DA12" s="1" t="s">
        <v>2</v>
      </c>
      <c r="DB12" s="1">
        <v>1.9917838914477781</v>
      </c>
      <c r="DC12" s="18">
        <v>0.20325566563816899</v>
      </c>
      <c r="DD12" s="18" t="s">
        <v>2</v>
      </c>
      <c r="DE12" s="18">
        <v>1.9150440483467255</v>
      </c>
      <c r="DF12" s="17">
        <v>-2.8246249244298083</v>
      </c>
      <c r="DG12" s="17" t="s">
        <v>2</v>
      </c>
      <c r="DH12" s="17">
        <v>2.3972349826211068</v>
      </c>
      <c r="DI12" s="14">
        <v>-6.9901289019312918</v>
      </c>
      <c r="DJ12" s="14" t="s">
        <v>2</v>
      </c>
      <c r="DK12" s="14">
        <v>1.1037945583678517</v>
      </c>
      <c r="DL12" s="22">
        <v>-2.5608397839855801</v>
      </c>
      <c r="DM12" s="22" t="s">
        <v>2</v>
      </c>
      <c r="DN12" s="22">
        <v>0.39785261248411879</v>
      </c>
    </row>
    <row r="13" spans="1:126" x14ac:dyDescent="0.2">
      <c r="A13">
        <v>778</v>
      </c>
      <c r="B13" s="106">
        <v>-9.9995256300545741</v>
      </c>
      <c r="C13" s="106" t="s">
        <v>2</v>
      </c>
      <c r="D13" s="106">
        <v>2.2800579454680077</v>
      </c>
      <c r="E13" s="106">
        <v>-7.1413216995088735</v>
      </c>
      <c r="F13" s="106" t="s">
        <v>2</v>
      </c>
      <c r="G13" s="106">
        <v>2.2631263923796943</v>
      </c>
      <c r="H13" s="106">
        <v>-12.150322660955059</v>
      </c>
      <c r="I13" s="106" t="s">
        <v>2</v>
      </c>
      <c r="J13" s="106">
        <v>1.4401655896456969</v>
      </c>
      <c r="K13" s="107">
        <v>-10.48709231959133</v>
      </c>
      <c r="L13" s="107" t="s">
        <v>2</v>
      </c>
      <c r="M13" s="107">
        <v>0.8839127768814895</v>
      </c>
      <c r="N13" s="107">
        <v>-11.839365182463645</v>
      </c>
      <c r="O13" s="107" t="s">
        <v>2</v>
      </c>
      <c r="P13" s="107">
        <v>2.3004461161067336</v>
      </c>
      <c r="Q13" s="108">
        <v>-8.6479691732170849</v>
      </c>
      <c r="R13" s="108" t="s">
        <v>2</v>
      </c>
      <c r="S13" s="108">
        <v>1.6028661922420591</v>
      </c>
      <c r="T13" s="106">
        <v>-10.874644895075726</v>
      </c>
      <c r="U13" s="106" t="s">
        <v>2</v>
      </c>
      <c r="V13" s="106">
        <v>1.6171781639948803</v>
      </c>
      <c r="W13" s="106">
        <v>-9.0475730555551479</v>
      </c>
      <c r="X13" s="106" t="s">
        <v>2</v>
      </c>
      <c r="Y13" s="106">
        <v>2.2892485340106417</v>
      </c>
      <c r="Z13" s="4">
        <v>-10.70918934462728</v>
      </c>
      <c r="AA13" s="9" t="s">
        <v>2</v>
      </c>
      <c r="AB13" s="4">
        <v>0.60099051644381651</v>
      </c>
      <c r="AC13" s="52"/>
      <c r="AD13" s="52"/>
      <c r="AE13" s="52"/>
      <c r="AF13" s="90">
        <v>-2.9830535441039974</v>
      </c>
      <c r="AG13" s="90" t="s">
        <v>2</v>
      </c>
      <c r="AH13" s="90">
        <v>1.6577008652486922</v>
      </c>
      <c r="AI13" s="90">
        <v>-4.7019340238912966</v>
      </c>
      <c r="AJ13" s="90" t="s">
        <v>2</v>
      </c>
      <c r="AK13" s="90">
        <v>1.2901356773665571</v>
      </c>
      <c r="AL13" s="91">
        <v>-6.7228915965003022</v>
      </c>
      <c r="AM13" s="91" t="s">
        <v>2</v>
      </c>
      <c r="AN13" s="91">
        <v>3.0504207107991963</v>
      </c>
      <c r="AO13" s="90">
        <v>-7.5646290850569509</v>
      </c>
      <c r="AP13" s="90" t="s">
        <v>2</v>
      </c>
      <c r="AQ13" s="90">
        <v>2.3214985652977278</v>
      </c>
      <c r="AR13" s="90">
        <v>-9.571045443633075</v>
      </c>
      <c r="AS13" s="90" t="s">
        <v>2</v>
      </c>
      <c r="AT13" s="90">
        <v>1.5669452351298454</v>
      </c>
      <c r="AU13" s="92">
        <v>-7.8612350687760069</v>
      </c>
      <c r="AV13" s="93" t="s">
        <v>2</v>
      </c>
      <c r="AW13" s="93">
        <v>2.9036004645760749</v>
      </c>
      <c r="AX13" s="97">
        <v>-4.4523387198067699</v>
      </c>
      <c r="AY13" s="97" t="s">
        <v>2</v>
      </c>
      <c r="AZ13" s="97">
        <v>2.5074558781240062</v>
      </c>
      <c r="BA13" s="99"/>
      <c r="BB13" s="99"/>
      <c r="BC13" s="99"/>
      <c r="BD13" s="97">
        <v>-3.9556458480006773</v>
      </c>
      <c r="BE13" s="97" t="s">
        <v>2</v>
      </c>
      <c r="BF13" s="97">
        <v>2.2342062724941649</v>
      </c>
      <c r="BG13" s="97">
        <v>-7.354263894954749</v>
      </c>
      <c r="BH13" s="97" t="s">
        <v>2</v>
      </c>
      <c r="BI13" s="97">
        <v>1.9837734775295643</v>
      </c>
      <c r="BJ13" s="97">
        <v>-3.7627594672776654</v>
      </c>
      <c r="BK13" s="97" t="s">
        <v>2</v>
      </c>
      <c r="BL13" s="97">
        <v>1.7142763187836956</v>
      </c>
      <c r="BM13" s="97">
        <v>-4.9775354087027157</v>
      </c>
      <c r="BN13" s="97" t="s">
        <v>2</v>
      </c>
      <c r="BO13" s="97">
        <v>2.4625794241251096</v>
      </c>
      <c r="BP13" s="97">
        <v>-6.1960412712177559</v>
      </c>
      <c r="BQ13" s="97" t="s">
        <v>2</v>
      </c>
      <c r="BR13" s="97">
        <v>2.3140859311714217</v>
      </c>
      <c r="BS13" s="97"/>
      <c r="BT13" s="97"/>
      <c r="BU13" s="97"/>
      <c r="BV13" s="97">
        <v>-2.5986366266335104</v>
      </c>
      <c r="BW13" s="97" t="s">
        <v>2</v>
      </c>
      <c r="BX13" s="97">
        <v>2.4006623049474594</v>
      </c>
      <c r="BY13" s="97">
        <v>-3.7617898339128431</v>
      </c>
      <c r="BZ13" s="97" t="s">
        <v>2</v>
      </c>
      <c r="CA13" s="97">
        <v>2.242628590907644</v>
      </c>
      <c r="CB13" s="97">
        <v>-3.7262459206930387</v>
      </c>
      <c r="CC13" s="97" t="s">
        <v>2</v>
      </c>
      <c r="CD13" s="97">
        <v>1.8161357029022689</v>
      </c>
      <c r="CE13" s="100"/>
      <c r="CF13" s="100"/>
      <c r="CG13" s="100"/>
      <c r="CH13" s="98">
        <v>-5.0828552427888418</v>
      </c>
      <c r="CI13" s="98" t="s">
        <v>2</v>
      </c>
      <c r="CJ13" s="98">
        <v>1.9873647114446888</v>
      </c>
      <c r="CK13" s="99">
        <v>-1.1693559762595562</v>
      </c>
      <c r="CL13" s="99" t="s">
        <v>2</v>
      </c>
      <c r="CM13" s="99">
        <v>2.240808529232857</v>
      </c>
      <c r="CN13" s="1">
        <v>-1.2714525662236298</v>
      </c>
      <c r="CO13" s="1" t="s">
        <v>2</v>
      </c>
      <c r="CP13" s="1">
        <v>1.5416563457151935</v>
      </c>
      <c r="CQ13" s="1">
        <v>-1.3689051747252101</v>
      </c>
      <c r="CR13" s="1" t="s">
        <v>2</v>
      </c>
      <c r="CS13" s="1">
        <v>2.3274104133075055</v>
      </c>
      <c r="CT13" s="17">
        <v>-2.9478775917658462</v>
      </c>
      <c r="CU13" s="17" t="s">
        <v>2</v>
      </c>
      <c r="CV13" s="17">
        <v>2.4872645133491322</v>
      </c>
      <c r="CW13" s="17">
        <v>0.43539571810535804</v>
      </c>
      <c r="CX13" s="17" t="s">
        <v>2</v>
      </c>
      <c r="CY13" s="17">
        <v>3.8009675190048378</v>
      </c>
      <c r="CZ13" s="1">
        <v>-6.4738898329598227</v>
      </c>
      <c r="DA13" s="1" t="s">
        <v>2</v>
      </c>
      <c r="DB13" s="1">
        <v>1.9917838914477781</v>
      </c>
      <c r="DC13" s="18">
        <v>-1.9061456836505508</v>
      </c>
      <c r="DD13" s="18" t="s">
        <v>2</v>
      </c>
      <c r="DE13" s="18">
        <v>1.9406011253630897</v>
      </c>
      <c r="DF13" s="17">
        <v>-3.8136702436744052</v>
      </c>
      <c r="DG13" s="17" t="s">
        <v>2</v>
      </c>
      <c r="DH13" s="17">
        <v>2.4179772409561369</v>
      </c>
      <c r="DI13" s="14">
        <v>-3.9998513034242844</v>
      </c>
      <c r="DJ13" s="14" t="s">
        <v>2</v>
      </c>
      <c r="DK13" s="14">
        <v>1.0776118579511111</v>
      </c>
      <c r="DL13" s="22">
        <v>-4.6362391908573164</v>
      </c>
      <c r="DM13" s="22" t="s">
        <v>2</v>
      </c>
      <c r="DN13" s="22">
        <v>0.43275332141056255</v>
      </c>
    </row>
    <row r="14" spans="1:126" x14ac:dyDescent="0.2">
      <c r="A14">
        <v>779</v>
      </c>
      <c r="B14" s="106">
        <v>-10.111379115867347</v>
      </c>
      <c r="C14" s="106" t="s">
        <v>2</v>
      </c>
      <c r="D14" s="106">
        <v>2.2849383786321957</v>
      </c>
      <c r="E14" s="106">
        <v>-12.732066522275542</v>
      </c>
      <c r="F14" s="106" t="s">
        <v>2</v>
      </c>
      <c r="G14" s="106">
        <v>2.3853932869654146</v>
      </c>
      <c r="H14" s="106">
        <v>-10.429406476766045</v>
      </c>
      <c r="I14" s="106" t="s">
        <v>2</v>
      </c>
      <c r="J14" s="106">
        <v>1.4514762572821849</v>
      </c>
      <c r="K14" s="107">
        <v>-10.66296444648518</v>
      </c>
      <c r="L14" s="107" t="s">
        <v>2</v>
      </c>
      <c r="M14" s="107">
        <v>0.80354761262448193</v>
      </c>
      <c r="N14" s="107">
        <v>-12.020640545038708</v>
      </c>
      <c r="O14" s="107" t="s">
        <v>2</v>
      </c>
      <c r="P14" s="107">
        <v>2.3104447576971476</v>
      </c>
      <c r="Q14" s="108">
        <v>-11.859333490397695</v>
      </c>
      <c r="R14" s="108" t="s">
        <v>2</v>
      </c>
      <c r="S14" s="108">
        <v>1.5936951301920095</v>
      </c>
      <c r="T14" s="106">
        <v>-9.7567587041035289</v>
      </c>
      <c r="U14" s="106" t="s">
        <v>2</v>
      </c>
      <c r="V14" s="106">
        <v>1.6193418575525425</v>
      </c>
      <c r="W14" s="106">
        <v>-9.1503213561052732</v>
      </c>
      <c r="X14" s="106" t="s">
        <v>2</v>
      </c>
      <c r="Y14" s="106">
        <v>2.2938783723326126</v>
      </c>
      <c r="Z14" s="4">
        <v>-10.927902455941553</v>
      </c>
      <c r="AA14" s="9" t="s">
        <v>2</v>
      </c>
      <c r="AB14" s="4">
        <v>0.57488985619673938</v>
      </c>
      <c r="AC14" s="52"/>
      <c r="AD14" s="52"/>
      <c r="AE14" s="52"/>
      <c r="AF14" s="90">
        <v>-4.7676668341716244</v>
      </c>
      <c r="AG14" s="90" t="s">
        <v>2</v>
      </c>
      <c r="AH14" s="90">
        <v>1.4101512100208291</v>
      </c>
      <c r="AI14" s="90">
        <v>-6.9826836323775288</v>
      </c>
      <c r="AJ14" s="90" t="s">
        <v>2</v>
      </c>
      <c r="AK14" s="90">
        <v>1.4857890682722776</v>
      </c>
      <c r="AL14" s="91">
        <v>-5.9080297616352917</v>
      </c>
      <c r="AM14" s="91" t="s">
        <v>2</v>
      </c>
      <c r="AN14" s="91">
        <v>3.0966911316863626</v>
      </c>
      <c r="AO14" s="90">
        <v>-5.9505912957076301</v>
      </c>
      <c r="AP14" s="90" t="s">
        <v>2</v>
      </c>
      <c r="AQ14" s="90">
        <v>2.3347457016568378</v>
      </c>
      <c r="AR14" s="90">
        <v>-6.623730645666015</v>
      </c>
      <c r="AS14" s="90" t="s">
        <v>2</v>
      </c>
      <c r="AT14" s="90">
        <v>2.0611135246158812</v>
      </c>
      <c r="AU14" s="92">
        <v>-8.9029761200578594</v>
      </c>
      <c r="AV14" s="93" t="s">
        <v>2</v>
      </c>
      <c r="AW14" s="93">
        <v>2.7900488258544525</v>
      </c>
      <c r="AX14" s="97"/>
      <c r="AY14" s="97"/>
      <c r="AZ14" s="97"/>
      <c r="BA14" s="99"/>
      <c r="BB14" s="99"/>
      <c r="BC14" s="99"/>
      <c r="BD14" s="97">
        <v>-4.2022084630231049</v>
      </c>
      <c r="BE14" s="97" t="s">
        <v>2</v>
      </c>
      <c r="BF14" s="97">
        <v>2.2136504942792827</v>
      </c>
      <c r="BG14" s="97">
        <v>-7.4772720938212078</v>
      </c>
      <c r="BH14" s="97" t="s">
        <v>2</v>
      </c>
      <c r="BI14" s="97">
        <v>1.6985890482998824</v>
      </c>
      <c r="BJ14" s="97">
        <v>-3.1533853283541857</v>
      </c>
      <c r="BK14" s="97" t="s">
        <v>2</v>
      </c>
      <c r="BL14" s="97">
        <v>1.7886177721598544</v>
      </c>
      <c r="BM14" s="97">
        <v>-4.5035886063833352</v>
      </c>
      <c r="BN14" s="97" t="s">
        <v>2</v>
      </c>
      <c r="BO14" s="97">
        <v>2.4518588897103228</v>
      </c>
      <c r="BP14" s="97">
        <v>-4.9139561790649822</v>
      </c>
      <c r="BQ14" s="97" t="s">
        <v>2</v>
      </c>
      <c r="BR14" s="97">
        <v>2.2887775912091972</v>
      </c>
      <c r="BS14" s="97"/>
      <c r="BT14" s="97"/>
      <c r="BU14" s="97"/>
      <c r="BV14" s="97">
        <v>-6.3982693018009851</v>
      </c>
      <c r="BW14" s="97" t="s">
        <v>2</v>
      </c>
      <c r="BX14" s="97">
        <v>2.4339883102511513</v>
      </c>
      <c r="BY14" s="97">
        <v>-5.9901985236366917</v>
      </c>
      <c r="BZ14" s="97" t="s">
        <v>2</v>
      </c>
      <c r="CA14" s="97">
        <v>2.2647875598885348</v>
      </c>
      <c r="CB14" s="97">
        <v>-5.6611049427163218</v>
      </c>
      <c r="CC14" s="97" t="s">
        <v>2</v>
      </c>
      <c r="CD14" s="97">
        <v>1.8182556520770599</v>
      </c>
      <c r="CE14" s="100"/>
      <c r="CF14" s="100"/>
      <c r="CG14" s="100"/>
      <c r="CH14" s="98">
        <v>-6.8686657025334164</v>
      </c>
      <c r="CI14" s="98" t="s">
        <v>2</v>
      </c>
      <c r="CJ14" s="98">
        <v>1.9682438849738506</v>
      </c>
      <c r="CK14" s="99">
        <v>-3.9713162118664158</v>
      </c>
      <c r="CL14" s="99" t="s">
        <v>2</v>
      </c>
      <c r="CM14" s="99">
        <v>2.2438108230617213</v>
      </c>
      <c r="CN14" s="1">
        <v>-3.3745997740520783</v>
      </c>
      <c r="CO14" s="1" t="s">
        <v>2</v>
      </c>
      <c r="CP14" s="1">
        <v>1.438023480838533</v>
      </c>
      <c r="CQ14" s="1">
        <v>-4.954567026551504</v>
      </c>
      <c r="CR14" s="1" t="s">
        <v>2</v>
      </c>
      <c r="CS14" s="1">
        <v>2.3507796201592193</v>
      </c>
      <c r="CT14" s="17">
        <v>-6.2427264445646946</v>
      </c>
      <c r="CU14" s="17" t="s">
        <v>2</v>
      </c>
      <c r="CV14" s="17">
        <v>2.4890072804153873</v>
      </c>
      <c r="CW14" s="17">
        <v>-3.1263630083877558E-2</v>
      </c>
      <c r="CX14" s="17" t="s">
        <v>2</v>
      </c>
      <c r="CY14" s="17">
        <v>3.5718400737412144</v>
      </c>
      <c r="CZ14" s="1">
        <v>-6.2229961794180166</v>
      </c>
      <c r="DA14" s="1" t="s">
        <v>2</v>
      </c>
      <c r="DB14" s="1">
        <v>1.9917838914477781</v>
      </c>
      <c r="DC14" s="18">
        <v>-1.455102944312836</v>
      </c>
      <c r="DD14" s="18" t="s">
        <v>2</v>
      </c>
      <c r="DE14" s="18">
        <v>1.9357237925394848</v>
      </c>
      <c r="DF14" s="17">
        <v>-1.8266456286016863</v>
      </c>
      <c r="DG14" s="17" t="s">
        <v>2</v>
      </c>
      <c r="DH14" s="17">
        <v>2.5096185651710869</v>
      </c>
      <c r="DI14" s="14">
        <v>-5.8700115947099007</v>
      </c>
      <c r="DJ14" s="14" t="s">
        <v>2</v>
      </c>
      <c r="DK14" s="14">
        <v>1.0829727933427788</v>
      </c>
      <c r="DL14" s="22">
        <v>-5.3807120786232288</v>
      </c>
      <c r="DM14" s="22" t="s">
        <v>2</v>
      </c>
      <c r="DN14" s="22">
        <v>0.44450315639061594</v>
      </c>
    </row>
    <row r="15" spans="1:126" x14ac:dyDescent="0.2">
      <c r="A15">
        <v>780</v>
      </c>
      <c r="B15" s="106">
        <v>-11.621011602069963</v>
      </c>
      <c r="C15" s="106" t="s">
        <v>2</v>
      </c>
      <c r="D15" s="106">
        <v>2.3339249161863944</v>
      </c>
      <c r="E15" s="106">
        <v>-13.755231614571928</v>
      </c>
      <c r="F15" s="106" t="s">
        <v>2</v>
      </c>
      <c r="G15" s="106">
        <v>2.3234743892625054</v>
      </c>
      <c r="H15" s="106">
        <v>-8.7741026167937886</v>
      </c>
      <c r="I15" s="106" t="s">
        <v>2</v>
      </c>
      <c r="J15" s="106">
        <v>1.4363509382190243</v>
      </c>
      <c r="K15" s="107">
        <v>-12.134695764530857</v>
      </c>
      <c r="L15" s="107" t="s">
        <v>2</v>
      </c>
      <c r="M15" s="107">
        <v>0.79323437707701172</v>
      </c>
      <c r="N15" s="107">
        <v>-12.23051631502392</v>
      </c>
      <c r="O15" s="107" t="s">
        <v>2</v>
      </c>
      <c r="P15" s="107">
        <v>2.2481474972630613</v>
      </c>
      <c r="Q15" s="108">
        <v>-12.874048587743548</v>
      </c>
      <c r="R15" s="108" t="s">
        <v>2</v>
      </c>
      <c r="S15" s="108">
        <v>1.5935410094754532</v>
      </c>
      <c r="T15" s="106">
        <v>-12.093502976445292</v>
      </c>
      <c r="U15" s="106" t="s">
        <v>2</v>
      </c>
      <c r="V15" s="106">
        <v>1.6015739247027621</v>
      </c>
      <c r="W15" s="106">
        <f>-12.4356235430897</f>
        <v>-12.435623543089701</v>
      </c>
      <c r="X15" s="106" t="s">
        <v>2</v>
      </c>
      <c r="Y15" s="106">
        <v>2.3165008566607361</v>
      </c>
      <c r="Z15" s="4">
        <v>-12.131048126201694</v>
      </c>
      <c r="AA15" s="9" t="s">
        <v>2</v>
      </c>
      <c r="AB15" s="4">
        <v>0.56952041176285007</v>
      </c>
      <c r="AC15" s="52"/>
      <c r="AD15" s="52"/>
      <c r="AE15" s="52"/>
      <c r="AF15" s="90">
        <v>-4.4375254156635568</v>
      </c>
      <c r="AG15" s="90" t="s">
        <v>2</v>
      </c>
      <c r="AH15" s="90">
        <v>1.4231492744919678</v>
      </c>
      <c r="AI15" s="90">
        <v>-6.0566524227161356</v>
      </c>
      <c r="AJ15" s="90" t="s">
        <v>2</v>
      </c>
      <c r="AK15" s="90">
        <v>1.2854376549939048</v>
      </c>
      <c r="AL15" s="91">
        <v>-7.4390430410846697</v>
      </c>
      <c r="AM15" s="91" t="s">
        <v>2</v>
      </c>
      <c r="AN15" s="91">
        <v>3.1257030146494316</v>
      </c>
      <c r="AO15" s="90">
        <v>-10.162460463498002</v>
      </c>
      <c r="AP15" s="90" t="s">
        <v>2</v>
      </c>
      <c r="AQ15" s="90">
        <v>2.3181030068624633</v>
      </c>
      <c r="AR15" s="90">
        <v>-7.092036843939109</v>
      </c>
      <c r="AS15" s="90" t="s">
        <v>2</v>
      </c>
      <c r="AT15" s="90">
        <v>2.0469830705831531</v>
      </c>
      <c r="AU15" s="92">
        <v>-7.4100112758169745</v>
      </c>
      <c r="AV15" s="93" t="s">
        <v>2</v>
      </c>
      <c r="AW15" s="93">
        <v>2.9015784586815228</v>
      </c>
      <c r="AX15" s="97"/>
      <c r="AY15" s="97"/>
      <c r="AZ15" s="97"/>
      <c r="BA15" s="99"/>
      <c r="BB15" s="99"/>
      <c r="BC15" s="99"/>
      <c r="BD15" s="97">
        <v>-8.928109728391199</v>
      </c>
      <c r="BE15" s="97" t="s">
        <v>2</v>
      </c>
      <c r="BF15" s="97">
        <v>2.2407220085105775</v>
      </c>
      <c r="BG15" s="97">
        <v>-5.4898694998704034</v>
      </c>
      <c r="BH15" s="97" t="s">
        <v>2</v>
      </c>
      <c r="BI15" s="97">
        <v>1.703982996035903</v>
      </c>
      <c r="BJ15" s="97">
        <v>-5.2002636329138152</v>
      </c>
      <c r="BK15" s="97" t="s">
        <v>2</v>
      </c>
      <c r="BL15" s="97">
        <v>1.7660827496085494</v>
      </c>
      <c r="BM15" s="97">
        <v>-2.3472832490175621</v>
      </c>
      <c r="BN15" s="97" t="s">
        <v>2</v>
      </c>
      <c r="BO15" s="97">
        <v>2.4263602139047462</v>
      </c>
      <c r="BP15" s="97">
        <v>-8.5096936095505615</v>
      </c>
      <c r="BQ15" s="97" t="s">
        <v>2</v>
      </c>
      <c r="BR15" s="97">
        <v>2.2936134627156637</v>
      </c>
      <c r="BS15" s="97"/>
      <c r="BT15" s="97"/>
      <c r="BU15" s="97"/>
      <c r="BV15" s="97">
        <v>-3.955262449255148</v>
      </c>
      <c r="BW15" s="97" t="s">
        <v>2</v>
      </c>
      <c r="BX15" s="97">
        <v>2.4416715746633129</v>
      </c>
      <c r="BY15" s="97">
        <v>-6.1613917844329791</v>
      </c>
      <c r="BZ15" s="97" t="s">
        <v>2</v>
      </c>
      <c r="CA15" s="97">
        <v>2.262633518965973</v>
      </c>
      <c r="CB15" s="97">
        <v>-6.2979506355609338</v>
      </c>
      <c r="CC15" s="97" t="s">
        <v>2</v>
      </c>
      <c r="CD15" s="97">
        <v>1.8066764849407675</v>
      </c>
      <c r="CE15" s="100"/>
      <c r="CF15" s="100"/>
      <c r="CG15" s="100"/>
      <c r="CH15" s="98">
        <v>-9.5855488655268708</v>
      </c>
      <c r="CI15" s="98" t="s">
        <v>2</v>
      </c>
      <c r="CJ15" s="98">
        <v>1.9602299370070975</v>
      </c>
      <c r="CK15" s="99">
        <v>-4.7989636796350599</v>
      </c>
      <c r="CL15" s="99" t="s">
        <v>2</v>
      </c>
      <c r="CM15" s="99">
        <v>2.2526431777046954</v>
      </c>
      <c r="CN15" s="1">
        <v>-5.6890897569086274</v>
      </c>
      <c r="CO15" s="1" t="s">
        <v>2</v>
      </c>
      <c r="CP15" s="1">
        <v>1.4475678826468616</v>
      </c>
      <c r="CQ15" s="1">
        <v>-4.0362952375534444</v>
      </c>
      <c r="CR15" s="1" t="s">
        <v>2</v>
      </c>
      <c r="CS15" s="1">
        <v>2.3544148847304061</v>
      </c>
      <c r="CT15" s="17">
        <v>-6.285032417849612</v>
      </c>
      <c r="CU15" s="17" t="s">
        <v>2</v>
      </c>
      <c r="CV15" s="17">
        <v>2.4616030180357096</v>
      </c>
      <c r="CW15" s="17">
        <v>-6.1427770747995991</v>
      </c>
      <c r="CX15" s="17" t="s">
        <v>2</v>
      </c>
      <c r="CY15" s="17">
        <v>3.0137939028631044</v>
      </c>
      <c r="CZ15" s="1">
        <v>-3.9901772229011812</v>
      </c>
      <c r="DA15" s="1" t="s">
        <v>2</v>
      </c>
      <c r="DB15" s="1">
        <v>1.9917838914477781</v>
      </c>
      <c r="DC15" s="18">
        <v>-4.1128805486180253</v>
      </c>
      <c r="DD15" s="18" t="s">
        <v>2</v>
      </c>
      <c r="DE15" s="18">
        <v>1.9199928041586118</v>
      </c>
      <c r="DF15" s="17">
        <v>-3.571630535373127</v>
      </c>
      <c r="DG15" s="17" t="s">
        <v>2</v>
      </c>
      <c r="DH15" s="17">
        <v>2.5456673791215958</v>
      </c>
      <c r="DI15" s="14">
        <v>-6.2715599577848335</v>
      </c>
      <c r="DJ15" s="14" t="s">
        <v>2</v>
      </c>
      <c r="DK15" s="14">
        <v>1.0822595317404964</v>
      </c>
      <c r="DL15" s="22">
        <v>-6.0081182657921728</v>
      </c>
      <c r="DM15" s="22" t="s">
        <v>2</v>
      </c>
      <c r="DN15" s="22">
        <v>0.43703231187937425</v>
      </c>
    </row>
    <row r="16" spans="1:126" x14ac:dyDescent="0.2">
      <c r="B16" s="106"/>
      <c r="C16" s="106"/>
      <c r="D16" s="106"/>
      <c r="E16" s="106"/>
      <c r="F16" s="106"/>
      <c r="G16" s="106"/>
      <c r="H16" s="106"/>
      <c r="I16" s="106"/>
      <c r="J16" s="106"/>
      <c r="K16" s="107"/>
      <c r="L16" s="107"/>
      <c r="M16" s="107"/>
      <c r="N16" s="107"/>
      <c r="O16" s="107"/>
      <c r="P16" s="107"/>
      <c r="Q16" s="108"/>
      <c r="R16" s="108"/>
      <c r="S16" s="108"/>
      <c r="T16" s="106"/>
      <c r="U16" s="106"/>
      <c r="V16" s="106"/>
      <c r="W16" s="106"/>
      <c r="X16" s="106"/>
      <c r="Y16" s="106"/>
      <c r="Z16" s="4"/>
      <c r="AA16" s="9"/>
      <c r="AB16" s="4"/>
      <c r="AC16" s="52"/>
      <c r="AD16" s="52"/>
      <c r="AE16" s="52"/>
      <c r="AF16" s="90"/>
      <c r="AG16" s="90"/>
      <c r="AH16" s="90"/>
      <c r="AI16" s="90"/>
      <c r="AJ16" s="90"/>
      <c r="AK16" s="90"/>
      <c r="AL16" s="91"/>
      <c r="AM16" s="91"/>
      <c r="AN16" s="91"/>
      <c r="AO16" s="90"/>
      <c r="AP16" s="90"/>
      <c r="AQ16" s="90"/>
      <c r="AR16" s="90"/>
      <c r="AS16" s="90"/>
      <c r="AT16" s="90"/>
      <c r="AU16" s="92"/>
      <c r="AV16" s="93"/>
      <c r="AW16" s="93"/>
      <c r="AX16" s="97"/>
      <c r="AY16" s="97"/>
      <c r="AZ16" s="97"/>
      <c r="BA16" s="99"/>
      <c r="BB16" s="99"/>
      <c r="BC16" s="99"/>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100"/>
      <c r="CF16" s="100"/>
      <c r="CG16" s="100"/>
      <c r="CH16" s="98"/>
      <c r="CI16" s="98"/>
      <c r="CJ16" s="98"/>
      <c r="CK16" s="99"/>
      <c r="CL16" s="99"/>
      <c r="CM16" s="99"/>
      <c r="CN16" s="1"/>
      <c r="CO16" s="1"/>
      <c r="CP16" s="1"/>
      <c r="CQ16" s="1"/>
      <c r="CR16" s="1"/>
      <c r="CS16" s="1"/>
      <c r="CT16" s="17"/>
      <c r="CU16" s="17"/>
      <c r="CV16" s="17"/>
      <c r="CW16" s="17"/>
      <c r="CX16" s="17"/>
      <c r="CY16" s="17"/>
      <c r="CZ16" s="1"/>
      <c r="DA16" s="1"/>
      <c r="DB16" s="1"/>
      <c r="DC16" s="18"/>
      <c r="DD16" s="18"/>
      <c r="DE16" s="18"/>
      <c r="DF16" s="17"/>
      <c r="DG16" s="17"/>
      <c r="DH16" s="17"/>
      <c r="DI16" s="14"/>
      <c r="DJ16" s="14"/>
      <c r="DK16" s="14"/>
      <c r="DL16" s="22"/>
      <c r="DM16" s="22"/>
      <c r="DN16" s="22"/>
    </row>
    <row r="17" spans="1:119" x14ac:dyDescent="0.2">
      <c r="A17" t="s">
        <v>85</v>
      </c>
      <c r="B17" s="106">
        <f>AVERAGE(B5:B15)</f>
        <v>-13.997717789481193</v>
      </c>
      <c r="C17" s="106" t="s">
        <v>2</v>
      </c>
      <c r="D17" s="106">
        <f>SQRT(1/(1/D5^2+1/D6^2+1/D7^2+1/D8^2+1/D9^2+1/D10^2+1/D11^2+1/D12^2+1/D13^2+1/D14^2+1/D15^2))</f>
        <v>0.68872649397930286</v>
      </c>
      <c r="E17" s="106">
        <f>AVERAGE(E5:E15)</f>
        <v>-15.281514104281921</v>
      </c>
      <c r="F17" s="106" t="s">
        <v>2</v>
      </c>
      <c r="G17" s="106">
        <f>SQRT(1/(1/G5^2+1/G6^2+1/G7^2+1/G8^2+1/G9^2+1/G10^2+1/G11^2+1/G12^2+1/G13^2+1/G14^2+1/G15^2))</f>
        <v>0.5586563620574001</v>
      </c>
      <c r="H17" s="106">
        <f>AVERAGE(H5:H15)</f>
        <v>-14.354013774378423</v>
      </c>
      <c r="I17" s="106" t="s">
        <v>2</v>
      </c>
      <c r="J17" s="106">
        <f>SQRT(1/(1/J5^2+1/J6^2+1/J7^2+1/J8^2+1/J9^2+1/J10^2+1/J11^2+1/J12^2+1/J13^2+1/J14^2+1/J15^2))</f>
        <v>0.41980787908511552</v>
      </c>
      <c r="K17" s="107">
        <f>AVERAGE(K5:K15)</f>
        <v>-15.191581840618769</v>
      </c>
      <c r="L17" s="107" t="s">
        <v>2</v>
      </c>
      <c r="M17" s="107">
        <f>SQRT(1/(1/M5^2+1/M6^2+1/M7^2+1/M8^2+1/M9^2+1/M10^2+1/M11^2+1/M12^2+1/M13^2+1/M14^2+1/M15^2))</f>
        <v>0.24357572379162629</v>
      </c>
      <c r="N17" s="107">
        <f>AVERAGE(N5:N15)</f>
        <v>-16.760886685614604</v>
      </c>
      <c r="O17" s="107" t="s">
        <v>2</v>
      </c>
      <c r="P17" s="107">
        <f>SQRT(1/(1/P5^2+1/P6^2+1/P7^2+1/P8^2+1/P9^2+1/P10^2+1/P11^2+1/P12^2+1/P13^2+1/P14^2+1/P15^2))</f>
        <v>0.69516459709821821</v>
      </c>
      <c r="Q17" s="106">
        <f>AVERAGE(Q5:Q15)</f>
        <v>-14.917505623857409</v>
      </c>
      <c r="R17" s="106" t="s">
        <v>2</v>
      </c>
      <c r="S17" s="106">
        <f>SQRT(1/(1/S5^2+1/S6^2+1/S7^2+1/S8^2+1/S9^2+1/S10^2+1/S11^2+1/S12^2+1/S13^2+1/S14^2+1/S15^2))</f>
        <v>0.48663739732912675</v>
      </c>
      <c r="T17" s="106">
        <f>AVERAGE(T5:T15)</f>
        <v>-14.577253834985537</v>
      </c>
      <c r="U17" s="106" t="s">
        <v>2</v>
      </c>
      <c r="V17" s="106">
        <f>SQRT(1/(1/V5^2+1/V6^2+1/V7^2+1/V8^2+1/V9^2+1/V10^2+1/V11^2+1/V12^2+1/V13^2+1/V14^2+1/V15^2))</f>
        <v>0.48659932143950813</v>
      </c>
      <c r="W17" s="106">
        <f>AVERAGE(W5:W15)</f>
        <v>-13.668254608752981</v>
      </c>
      <c r="X17" s="106" t="s">
        <v>2</v>
      </c>
      <c r="Y17" s="106">
        <f>SQRT(1/(1/Y5^2+1/Y6^2+1/Y7^2+1/Y8^2+1/Y9^2+1/Y10^2+1/Y11^2+1/Y12^2+1/Y13^2+1/Y14^2+1/Y15^2))</f>
        <v>0.6888217283584509</v>
      </c>
      <c r="Z17" s="26">
        <f>AVERAGE(Z5:Z15)</f>
        <v>-15.14160435214324</v>
      </c>
      <c r="AA17" s="26" t="s">
        <v>2</v>
      </c>
      <c r="AB17" s="26">
        <f>SQRT(1/(1/AB5^2+1/AB6^2+1/AB7^2+1/AB8^2+1/AB9^2+1/AB10^2+1/AB11^2+1/AB12^2+1/AB13^2+1/AB14^2+1/AB15^2))</f>
        <v>0.16956967098888842</v>
      </c>
      <c r="AC17" s="26">
        <f>STDEVA(W17,T17,Q17,N17,K17,H17,E17,B17)/SQRT(COUNTA(B17,E17,H17,K17,N17,Q17,T17,W17))</f>
        <v>0.33811184894660229</v>
      </c>
      <c r="AD17" s="52"/>
      <c r="AE17" s="52"/>
      <c r="AF17" s="90">
        <f>AVERAGE(AF5:AF15)</f>
        <v>-9.7416624170986399</v>
      </c>
      <c r="AG17" s="90" t="s">
        <v>2</v>
      </c>
      <c r="AH17" s="90">
        <f>SQRT(1/(1/AH5^2+1/AH6^2+1/AH7^2+1/AH8^2+1/AH9^2+1/AH10^2+1/AH11^2+1/AH12^2+1/AH13^2+1/AH14^2+1/AH15^2))</f>
        <v>0.39382262495041337</v>
      </c>
      <c r="AI17" s="90">
        <f>AVERAGE(AI5:AI15)</f>
        <v>-11.372685350487421</v>
      </c>
      <c r="AJ17" s="90" t="s">
        <v>2</v>
      </c>
      <c r="AK17" s="90">
        <f>SQRT(1/(1/AK5^2+1/AK6^2+1/AK7^2+1/AK8^2+1/AK9^2+1/AK10^2+1/AK11^2+1/AK12^2+1/AK13^2+1/AK14^2+1/AK15^2))</f>
        <v>0.40543303601810399</v>
      </c>
      <c r="AL17" s="90">
        <f>AVERAGE(AL5:AL15)</f>
        <v>-12.962625905642959</v>
      </c>
      <c r="AM17" s="90" t="s">
        <v>2</v>
      </c>
      <c r="AN17" s="90">
        <f>SQRT(1/(1/AN5^2+1/AN6^2+1/AN7^2+1/AN8^2+1/AN9^2+1/AN10^2+1/AN11^2+1/AN12^2+1/AN13^2+1/AN14^2+1/AN15^2))</f>
        <v>0.93806179161829395</v>
      </c>
      <c r="AO17" s="90">
        <f>AVERAGE(AO5:AO15)</f>
        <v>-12.290960787633059</v>
      </c>
      <c r="AP17" s="90" t="s">
        <v>2</v>
      </c>
      <c r="AQ17" s="90">
        <f>SQRT(1/(1/AQ5^2+1/AQ6^2+1/AQ7^2+1/AQ8^2+1/AQ9^2+1/AQ10^2+1/AQ11^2+1/AQ12^2+1/AQ13^2+1/AQ14^2+1/AQ15^2))</f>
        <v>0.7018185762232223</v>
      </c>
      <c r="AR17" s="90">
        <f>AVERAGE(AR5:AR15)</f>
        <v>-12.831760675619035</v>
      </c>
      <c r="AS17" s="90" t="s">
        <v>2</v>
      </c>
      <c r="AT17" s="90">
        <f>SQRT(1/(1/AT5^2+1/AT6^2+1/AT7^2+1/AT8^2+1/AT9^2+1/AT10^2+1/AT11^2+1/AT12^2+1/AT13^2+1/AT14^2+1/AT15^2))</f>
        <v>0.50854268169490457</v>
      </c>
      <c r="AU17" s="93">
        <f>AVERAGE(AU5:AU15)</f>
        <v>-10.950640052841571</v>
      </c>
      <c r="AV17" s="93" t="s">
        <v>2</v>
      </c>
      <c r="AW17" s="93">
        <f>SQRT(1/(1/AW5^2+1/AW6^2+1/AW7^2+1/AW8^2+1/AW9^2+1/AW10^2+1/AW11^2+1/AW12^2+1/AW13^2+1/AW14^2+1/AW15^2))</f>
        <v>0.99593514913112158</v>
      </c>
      <c r="AX17" s="97"/>
      <c r="AY17" s="97"/>
      <c r="AZ17" s="97"/>
      <c r="BA17" s="97"/>
      <c r="BB17" s="97"/>
      <c r="BC17" s="97"/>
      <c r="BD17" s="97">
        <f>AVERAGE(BD5:BD15)</f>
        <v>-11.142682544094361</v>
      </c>
      <c r="BE17" s="97" t="s">
        <v>2</v>
      </c>
      <c r="BF17" s="97">
        <f>SQRT(1/(1/BF5^2+1/BF6^2+1/BF7^2+1/BF8^2+1/BF9^2+1/BF10^2+1/BF11^2+1/BF12^2+1/BF13^2+1/BF14^2+1/BF15^2))</f>
        <v>0.67318993981335273</v>
      </c>
      <c r="BG17" s="97">
        <f>AVERAGE(BG5:BG15)</f>
        <v>-11.591365817289834</v>
      </c>
      <c r="BH17" s="97" t="s">
        <v>2</v>
      </c>
      <c r="BI17" s="97">
        <f>SQRT(1/(1/BI5^2+1/BI6^2+1/BI7^2+1/BI8^2+1/BI9^2+1/BI10^2+1/BI11^2+1/BI12^2+1/BI13^2+1/BI14^2+1/BI15^2))</f>
        <v>0.46243027673211901</v>
      </c>
      <c r="BJ17" s="97">
        <f>AVERAGE(BJ5:BJ15)</f>
        <v>-9.2810377354416946</v>
      </c>
      <c r="BK17" s="97" t="s">
        <v>2</v>
      </c>
      <c r="BL17" s="97">
        <f>SQRT(1/(1/BL5^2+1/BL6^2+1/BL7^2+1/BL8^2+1/BL9^2+1/BL10^2+1/BL11^2+1/BL12^2+1/BL13^2+1/BL14^2+1/BL15^2))</f>
        <v>0.51677415639994717</v>
      </c>
      <c r="BM17" s="97">
        <f>AVERAGE(BM5:BM15)</f>
        <v>-10.084064497488161</v>
      </c>
      <c r="BN17" s="97" t="s">
        <v>2</v>
      </c>
      <c r="BO17" s="97">
        <f>SQRT(1/(1/BO5^2+1/BO6^2+1/BO7^2+1/BO8^2+1/BO9^2+1/BO10^2+1/BO11^2+1/BO12^2+1/BO13^2+1/BO14^2+1/BO15^2))</f>
        <v>0.74590453180731109</v>
      </c>
      <c r="BP17" s="97">
        <f>AVERAGE(BP5:BP15)</f>
        <v>-11.784470679617641</v>
      </c>
      <c r="BQ17" s="97" t="s">
        <v>2</v>
      </c>
      <c r="BR17" s="97">
        <f>SQRT(1/(1/BR5^2+1/BR6^2+1/BR7^2+1/BR8^2+1/BR9^2+1/BR10^2+1/BR11^2+1/BR12^2+1/BR13^2+1/BR14^2+1/BR15^2))</f>
        <v>0.61354957464444471</v>
      </c>
      <c r="BS17" s="97"/>
      <c r="BT17" s="97"/>
      <c r="BU17" s="97"/>
      <c r="BV17" s="97">
        <f>AVERAGE(BV5:BV15)</f>
        <v>-9.9441850600291204</v>
      </c>
      <c r="BW17" s="97" t="s">
        <v>2</v>
      </c>
      <c r="BX17" s="97">
        <f>SQRT(1/(1/BX5^2+1/BX6^2+1/BX7^2+1/BX8^2+1/BX9^2+1/BX10^2+1/BX11^2+1/BX12^2+1/BX13^2+1/BX14^2+1/BX15^2))</f>
        <v>0.73089347357407775</v>
      </c>
      <c r="BY17" s="97">
        <f>AVERAGE(BY5:BY15)</f>
        <v>-10.142896477715325</v>
      </c>
      <c r="BZ17" s="97" t="s">
        <v>2</v>
      </c>
      <c r="CA17" s="97">
        <f>SQRT(1/(1/CA6^2+1/CA7^2+1/CA8^2+1/CA9^2+1/CA10^2+1/CA11^2+1/CA12^2+1/CA13^2+1/CA14^2+1/CA15^2))</f>
        <v>0.71505789491863614</v>
      </c>
      <c r="CB17" s="97">
        <f>AVERAGE(CB5:CB15)</f>
        <v>-9.5162715099080692</v>
      </c>
      <c r="CC17" s="97" t="s">
        <v>2</v>
      </c>
      <c r="CD17" s="97">
        <f>SQRT(1/(1/CD5^2+1/CD6^2+1/CD7^2+1/CD8^2+1/CD9^2+1/CD10^2+1/CD11^2+1/CD12^2+1/CD13^2+1/CD14^2+1/CD15^2))</f>
        <v>0.54796931788359649</v>
      </c>
      <c r="CE17" s="97"/>
      <c r="CF17" s="97"/>
      <c r="CG17" s="97"/>
      <c r="CH17" s="97">
        <f>AVERAGE(CH5:CH15)</f>
        <v>-12.51623782623818</v>
      </c>
      <c r="CI17" s="97" t="s">
        <v>2</v>
      </c>
      <c r="CJ17" s="97">
        <f>SQRT(1/(1/CJ5^2+1/CJ6^2+1/CJ7^2+1/CJ8^2+1/CJ9^2+1/CJ10^2+1/CJ11^2+1/CJ12^2+1/CJ13^2+1/CJ14^2+1/CJ15^2))</f>
        <v>0.59189881717445891</v>
      </c>
      <c r="CK17" s="97">
        <f>AVERAGE(CK5:CK15)</f>
        <v>-12.480010699395892</v>
      </c>
      <c r="CL17" s="97" t="s">
        <v>2</v>
      </c>
      <c r="CM17" s="97">
        <f>SQRT(1/(1/CM5^2+1/CM6^2+1/CM7^2+1/CM8^2+1/CM9^2+1/CM10^2+1/CM11^2+1/CM12^2+1/CM13^2+1/CM14^2+1/CM15^2))</f>
        <v>0.67874612399844636</v>
      </c>
      <c r="CN17" s="1">
        <f>AVERAGE(CN5:CN15)</f>
        <v>-7.1073968894155168</v>
      </c>
      <c r="CO17" s="1" t="s">
        <v>2</v>
      </c>
      <c r="CP17" s="1">
        <f>SQRT(1/(1/CP5^2+1/CP6^2+1/CP7^2+1/CP9^2+1/CP10^2+1/CP11^2+1/CP12^2+1/CP13^2+1/CP14^2+1/CP15^2))</f>
        <v>0.4949671899952286</v>
      </c>
      <c r="CQ17" s="1">
        <f>AVERAGE(CQ5:CQ15)</f>
        <v>-8.9231585419879469</v>
      </c>
      <c r="CR17" s="1" t="s">
        <v>2</v>
      </c>
      <c r="CS17" s="1">
        <f>SQRT(1/(1/CS5^2+1/CS6^2+1/CS7^2+1/CS8^2+1/CS9^2+1/CS10^2+1/CS11^2+1/CS12^2+1/CS13^2+1/CS14^2+1/CS15^2))</f>
        <v>0.70713420512924541</v>
      </c>
      <c r="CT17" s="1">
        <f>AVERAGE(CT5:CT15)</f>
        <v>-9.8950035461767634</v>
      </c>
      <c r="CU17" s="1" t="s">
        <v>2</v>
      </c>
      <c r="CV17" s="1">
        <f>SQRT(1/(1/CV5^2+1/CV6^2+1/CV7^2+1/CV8^2+1/CV9^2+1/CV10^2+1/CV11^2+1/CV12^2+1/CV13^2+1/CV14^2+1/CV15^2))</f>
        <v>0.74923699468896721</v>
      </c>
      <c r="CW17" s="1">
        <f>AVERAGE(CW5:CW15)</f>
        <v>-7.713288806181243</v>
      </c>
      <c r="CX17" s="1" t="s">
        <v>2</v>
      </c>
      <c r="CY17" s="1">
        <f>SQRT(1/(1/CY5^2+1/CY6^2+1/CY7^2+1/CY8^2+1/CY9^2+1/CY10^2+1/CY11^2+1/CY12^2+1/CY13^2+1/CY14^2+1/CY15^2))</f>
        <v>1.0851220412435905</v>
      </c>
      <c r="CZ17" s="1">
        <f>AVERAGE(CZ5:CZ15)</f>
        <v>-10.744458827628362</v>
      </c>
      <c r="DA17" s="1" t="s">
        <v>2</v>
      </c>
      <c r="DB17" s="1">
        <f>SQRT(1/(1/DB5^2+1/DB6^2+1/DB7^2+1/DB8^2+1/DB9^2+1/DB10^2+1/DB11^2+1/DB12^2+1/DB13^2+1/DB14^2+1/DB15^2))</f>
        <v>0.60368693636008353</v>
      </c>
      <c r="DC17" s="1">
        <f>AVERAGE(DC5:DC15)</f>
        <v>-9.8326108909379784</v>
      </c>
      <c r="DD17" s="1" t="s">
        <v>2</v>
      </c>
      <c r="DE17" s="1">
        <f>SQRT(1/(1/DE5^2+1/DE6^2+1/DE7^2+1/DE8^2+1/DE9^2+1/DE10^2+1/DE11^2+1/DE12^2+1/DE13^2+1/DE14^2+1/DE15^2))</f>
        <v>0.57915556677222102</v>
      </c>
      <c r="DF17" s="1">
        <f>AVERAGE(DF5:DF15)</f>
        <v>-8.8453566407386308</v>
      </c>
      <c r="DG17" s="1" t="s">
        <v>2</v>
      </c>
      <c r="DH17" s="1">
        <f>SQRT(1/(1/DH5^2+1/DH6^2+1/DH7^2+1/DH8^2+1/DH9^2+1/DH10^2+1/DH11^2+1/DH12^2+1/DH13^2+1/DH14^2+1/DH15^2))</f>
        <v>0.73232806534967998</v>
      </c>
      <c r="DI17" s="1">
        <f>AVERAGE(DI5:DI15)</f>
        <v>-13.19135089036825</v>
      </c>
      <c r="DJ17" s="1" t="s">
        <v>2</v>
      </c>
      <c r="DK17" s="1">
        <f>SQRT(1/(1/DK5^2+1/DK6^2+1/DK7^2+1/DK8^2+1/DK9^2+1/DK10^2+1/DK11^2+1/DK12^2+1/DK13^2+1/DK14^2+1/DK15^2))</f>
        <v>0.3287498837166119</v>
      </c>
      <c r="DL17" s="56">
        <f>AVERAGE(DL5:DL15)</f>
        <v>-10.468429691131547</v>
      </c>
      <c r="DM17" s="56" t="s">
        <v>2</v>
      </c>
      <c r="DN17" s="56">
        <f>SQRT(1/(1/DN5^2+1/DN6^2+1/DN7^2+1/DN8^2+1/DN9^2+1/DN10^2+1/DN11^2+1/DN12^2+1/DN13^2+1/DN14^2+1/DN15^2))</f>
        <v>0.11927189283654063</v>
      </c>
      <c r="DO17" s="55">
        <f>STDEVA(AU17,CH17,AR17,AO17,DF17,CZ17,CT17,CN17,CB17,AL17,BY17,BV17,AI17,BP17,BM17,BJ17,AF17,BG17,BD17)/SQRT(COUNTA(BD17,BG17,AF17,BJ17,BM17,BP17,AI17,BV17,BY17,AL17,CB17,CN17,CQ17,CT17,CW17,CZ17,DF17))</f>
        <v>0.3649248374958548</v>
      </c>
    </row>
    <row r="18" spans="1:119" x14ac:dyDescent="0.2">
      <c r="A18" t="s">
        <v>86</v>
      </c>
      <c r="B18" s="106">
        <f>AVERAGE(B11:B13)-AVERAGE(B6:B8)</f>
        <v>11.790915215094858</v>
      </c>
      <c r="C18" s="106" t="s">
        <v>2</v>
      </c>
      <c r="D18" s="106">
        <f>SQRT((1/(1/D6^2+1/D7^2+1/D8^2)+1/(1/D12^2+1/D13^2+1/D14^2)))</f>
        <v>1.8555817396907464</v>
      </c>
      <c r="E18" s="106">
        <f>AVERAGE(E11:E13)-AVERAGE(E6:E8)</f>
        <v>17.56062405479997</v>
      </c>
      <c r="F18" s="106" t="s">
        <v>2</v>
      </c>
      <c r="G18" s="106">
        <f>SQRT((1/(1/G6^2+1/G7^2+1/G8^2)+1/(1/G12^2+1/G13^2+1/G14^2)))</f>
        <v>1.5294500006105181</v>
      </c>
      <c r="H18" s="106">
        <f>AVERAGE(H11:H13)-AVERAGE(H6:H8)</f>
        <v>11.781891858227015</v>
      </c>
      <c r="I18" s="106" t="s">
        <v>2</v>
      </c>
      <c r="J18" s="106">
        <f>SQRT((1/(1/J6^2+1/J7^2+1/J8^2)+1/(1/J12^2+1/J13^2+1/J14^2)))</f>
        <v>1.1773473353179607</v>
      </c>
      <c r="K18" s="107">
        <f>AVERAGE(K11:K13)-AVERAGE(K6:K8)</f>
        <v>13.870564417570543</v>
      </c>
      <c r="L18" s="107" t="s">
        <v>2</v>
      </c>
      <c r="M18" s="107">
        <f>SQRT((1/(1/M6^2+1/M7^2+1/M8^2)+1/(1/M12^2+1/M13^2+1/M14^2)))</f>
        <v>0.66946161469855325</v>
      </c>
      <c r="N18" s="107">
        <f>AVERAGE(N11:N13)-AVERAGE(N6:N8)</f>
        <v>13.076940989357336</v>
      </c>
      <c r="O18" s="107" t="s">
        <v>2</v>
      </c>
      <c r="P18" s="107">
        <f>SQRT((1/(1/P6^2+1/P7^2+1/P8^2)+1/(1/P12^2+1/P13^2+1/P14^2)))</f>
        <v>1.8825912473596738</v>
      </c>
      <c r="Q18" s="106">
        <f>AVERAGE(Q11:Q13)-AVERAGE(Q6:Q8)</f>
        <v>13.466856098117969</v>
      </c>
      <c r="R18" s="106" t="s">
        <v>2</v>
      </c>
      <c r="S18" s="106">
        <f>SQRT((1/(1/S6^2+1/S7^2+1/S8^2)+1/(1/S12^2+1/S13^2+1/S14^2)))</f>
        <v>1.3150578735840126</v>
      </c>
      <c r="T18" s="106">
        <f>AVERAGE(T11:T13)-AVERAGE(T6:T8)</f>
        <v>13.443057494307004</v>
      </c>
      <c r="U18" s="106" t="s">
        <v>2</v>
      </c>
      <c r="V18" s="106">
        <f>SQRT((1/(1/V6^2+1/V7^2+1/V8^2)+1/(1/V12^2+1/V13^2+1/V14^2)))</f>
        <v>1.3178949229637067</v>
      </c>
      <c r="W18" s="106">
        <f>AVERAGE(W11:W13)-AVERAGE(W6:W8)</f>
        <v>12.736926620687445</v>
      </c>
      <c r="X18" s="106" t="s">
        <v>2</v>
      </c>
      <c r="Y18" s="106">
        <f>SQRT((1/(1/Y6^2+1/Y7^2+1/Y8^2)+1/(1/Y12^2+1/Y13^2+1/Y14^2)))</f>
        <v>1.8642386304214915</v>
      </c>
      <c r="Z18" s="26">
        <f>AVERAGE(Z11:Z13)-AVERAGE(Z6:Z8)</f>
        <v>13.542890158147909</v>
      </c>
      <c r="AA18" s="26" t="s">
        <v>2</v>
      </c>
      <c r="AB18" s="26">
        <f>SQRT((1/(1/AB6^2+1/AB7^2+1/AB8^2)+1/(1/AB12^2+1/AB13^2+1/AB14^2)))</f>
        <v>0.4652405651899672</v>
      </c>
      <c r="AC18" s="26">
        <f>STDEVA(W18,T18,Q18,N18,K18,H18,E18,B18)</f>
        <v>1.8226820810217035</v>
      </c>
      <c r="AD18" s="53"/>
      <c r="AE18" s="53"/>
      <c r="AF18" s="90">
        <f>AVERAGE(AF11:AF13)-AVERAGE(AF6:AF8)</f>
        <v>15.328430469661297</v>
      </c>
      <c r="AG18" s="90" t="s">
        <v>2</v>
      </c>
      <c r="AH18" s="90">
        <f>SQRT((1/(1/AH6^2+1/AH7^2+1/AH8^2)+1/(1/AH12^2+1/AH13^2+1/AH14^2)))</f>
        <v>1.0889718600697207</v>
      </c>
      <c r="AI18" s="90">
        <f>AVERAGE(AI11:AI13)-AVERAGE(AI6:AI8)</f>
        <v>14.14683520452764</v>
      </c>
      <c r="AJ18" s="90" t="s">
        <v>2</v>
      </c>
      <c r="AK18" s="90">
        <f>SQRT((1/(1/AK6^2+1/AK7^2+1/AK8^2)+1/(1/AK12^2+1/AK13^2+1/AK14^2)))</f>
        <v>1.1649703504605351</v>
      </c>
      <c r="AL18" s="90">
        <f>AVERAGE(AL11:AL13)-AVERAGE(AL6:AL8)</f>
        <v>13.607735529623316</v>
      </c>
      <c r="AM18" s="90" t="s">
        <v>2</v>
      </c>
      <c r="AN18" s="90">
        <f>SQRT((1/(1/AN6^2+1/AN7^2+1/AN8^2)+1/(1/AN12^2+1/AN13^2+1/AN14^2)))</f>
        <v>2.5606017456813168</v>
      </c>
      <c r="AO18" s="90">
        <f>AVERAGE(AO11:AO13)-AVERAGE(AO6:AO8)</f>
        <v>16.323834731671571</v>
      </c>
      <c r="AP18" s="90" t="s">
        <v>2</v>
      </c>
      <c r="AQ18" s="90">
        <f>SQRT((1/(1/AQ6^2+1/AQ7^2+1/AQ8^2)+1/(1/AQ12^2+1/AQ13^2+1/AQ14^2)))</f>
        <v>1.8986671366408516</v>
      </c>
      <c r="AR18" s="90">
        <f>AVERAGE(AR11:AR13)-AVERAGE(AR6:AR8)</f>
        <v>14.244741779598048</v>
      </c>
      <c r="AS18" s="90" t="s">
        <v>2</v>
      </c>
      <c r="AT18" s="90">
        <f>SQRT((1/(1/AT6^2+1/AT7^2+1/AT8^2)+1/(1/AT12^2+1/AT13^2+1/AT14^2)))</f>
        <v>1.3722998293834201</v>
      </c>
      <c r="AU18" s="90">
        <f>AVERAGE(AU11:AU13)-AVERAGE(AU6:AU8)</f>
        <v>11.506143549473357</v>
      </c>
      <c r="AV18" s="90" t="s">
        <v>2</v>
      </c>
      <c r="AW18" s="90">
        <f>SQRT((1/(1/AW6^2+1/AW7^2+1/AW8^2)+1/(1/AW12^2+1/AW13^2+1/AW14^2)))</f>
        <v>2.6909694955814327</v>
      </c>
      <c r="AX18" s="97"/>
      <c r="AY18" s="97"/>
      <c r="AZ18" s="97"/>
      <c r="BA18" s="97"/>
      <c r="BB18" s="97"/>
      <c r="BC18" s="97"/>
      <c r="BD18" s="97">
        <f>AVERAGE(BD11:BD13)-AVERAGE(BD6:BD8)</f>
        <v>14.806833936819292</v>
      </c>
      <c r="BE18" s="97" t="s">
        <v>2</v>
      </c>
      <c r="BF18" s="97">
        <f>SQRT((1/(1/BF6^2+1/BF7^2+1/BF8^2)+1/(1/BF12^2+1/BF13^2+1/BF14^2)))</f>
        <v>1.8250228257104979</v>
      </c>
      <c r="BG18" s="97">
        <f>AVERAGE(BG11:BG13)-AVERAGE(BG6:BG8)</f>
        <v>14.966983218002198</v>
      </c>
      <c r="BH18" s="97" t="s">
        <v>2</v>
      </c>
      <c r="BI18" s="97">
        <f>SQRT((1/(1/BI6^2+1/BI7^2+1/BI8^2)+1/(1/BI12^2+1/BI13^2+1/BI14^2)))</f>
        <v>1.3243871877410003</v>
      </c>
      <c r="BJ18" s="97">
        <f>AVERAGE(BJ11:BJ13)-AVERAGE(BJ6:BJ8)</f>
        <v>18.393640190188783</v>
      </c>
      <c r="BK18" s="97" t="s">
        <v>2</v>
      </c>
      <c r="BL18" s="97">
        <f>SQRT((1/(1/BL6^2+1/BL7^2+1/BL8^2)+1/(1/BL12^2+1/BL13^2+1/BL14^2)))</f>
        <v>1.3955417127390848</v>
      </c>
      <c r="BM18" s="97">
        <f>AVERAGE(BM11:BM13)-AVERAGE(BM6:BM8)</f>
        <v>18.004212049357164</v>
      </c>
      <c r="BN18" s="97" t="s">
        <v>2</v>
      </c>
      <c r="BO18" s="97">
        <f>SQRT((1/(1/BO6^2+1/BO7^2+1/BO8^2)+1/(1/BO12^2+1/BO13^2+1/BO14^2)))</f>
        <v>2.016884885176347</v>
      </c>
      <c r="BP18" s="97">
        <f>AVERAGE(BP11:BP13)-AVERAGE(BP6:BP8)</f>
        <v>16.393743748536046</v>
      </c>
      <c r="BQ18" s="97" t="s">
        <v>2</v>
      </c>
      <c r="BR18" s="97">
        <f>SQRT((1/(1/BR6^2+1/BR7^2+1/BR8^2)+1/(1/BR12^2+1/BR13^2+1/BR14^2)))</f>
        <v>1.7588970186624429</v>
      </c>
      <c r="BS18" s="97"/>
      <c r="BT18" s="97"/>
      <c r="BU18" s="97"/>
      <c r="BV18" s="97">
        <f>AVERAGE(BV11:BV13)-AVERAGE(BV6:BV8)</f>
        <v>18.963563000447067</v>
      </c>
      <c r="BW18" s="97" t="s">
        <v>2</v>
      </c>
      <c r="BX18" s="97">
        <f>SQRT((1/(1/BX6^2+1/BX7^2+1/BX8^2)+1/(1/BX12^2+1/BX13^2+1/BX14^2)))</f>
        <v>1.9815753813433705</v>
      </c>
      <c r="BY18" s="97">
        <f>AVERAGE(BY11:BY13)-AVERAGE(BY6:BY8)</f>
        <v>16.281564465492227</v>
      </c>
      <c r="BZ18" s="97" t="s">
        <v>2</v>
      </c>
      <c r="CA18" s="97">
        <f>SQRT((1/(1/CA6^2+1/CA7^2+1/CA8^2)+1/(1/CA12^2+1/CA13^2+1/CA14^2)))</f>
        <v>1.8365138241346832</v>
      </c>
      <c r="CB18" s="97">
        <f>AVERAGE(CB11:CB13)-AVERAGE(CB6:CB8)</f>
        <v>17.557311261608533</v>
      </c>
      <c r="CC18" s="97" t="s">
        <v>2</v>
      </c>
      <c r="CD18" s="97">
        <f>SQRT((1/(1/CD6^2+1/CD7^2+1/CD8^2)+1/(1/CD12^2+1/CD13^2+1/CD14^2)))</f>
        <v>1.4857995410081042</v>
      </c>
      <c r="CE18" s="97"/>
      <c r="CF18" s="97"/>
      <c r="CG18" s="97"/>
      <c r="CH18" s="97">
        <f>AVERAGE(CH11:CH13)-AVERAGE(CH6:CH8)</f>
        <v>18.600651727274577</v>
      </c>
      <c r="CI18" s="97" t="s">
        <v>2</v>
      </c>
      <c r="CJ18" s="97">
        <f>SQRT((1/(1/CJ6^2+1/CJ7^2+1/CJ8^2)+1/(1/CJ12^2+1/CJ13^2+1/CJ14^2)))</f>
        <v>1.6004649732200655</v>
      </c>
      <c r="CK18" s="97">
        <f>AVERAGE(CK11:CK13)-AVERAGE(CK6:CK8)</f>
        <v>14.559792536164611</v>
      </c>
      <c r="CL18" s="97" t="s">
        <v>2</v>
      </c>
      <c r="CM18" s="97">
        <f>SQRT((1/(1/CM6^2+1/CM7^2+1/CM8^2)+1/(1/CM12^2+1/CM13^2+1/CM14^2)))</f>
        <v>1.838978722407032</v>
      </c>
      <c r="CN18" s="1">
        <f>AVERAGE(CN11:CN13)-AVERAGE(CN6:CN8)</f>
        <v>16.380128864883879</v>
      </c>
      <c r="CO18" s="1" t="s">
        <v>2</v>
      </c>
      <c r="CP18" s="1">
        <f>SQRT((1/(1/CP6^2+1/CP7^2)+1/(1/CP12^2+1/CP13^2+1/CP14^2)))</f>
        <v>1.4855420618196389</v>
      </c>
      <c r="CQ18" s="1">
        <f>AVERAGE(CQ11:CQ13)-AVERAGE(CQ6:CQ8)</f>
        <v>15.32759787330418</v>
      </c>
      <c r="CR18" s="1" t="s">
        <v>2</v>
      </c>
      <c r="CS18" s="1">
        <f>SQRT((1/(1/CS6^2+1/CS7^2+1/CS8^2)+1/(1/CS12^2+1/CS13^2+1/CS14^2)))</f>
        <v>1.9128741949658457</v>
      </c>
      <c r="CT18" s="1">
        <f>AVERAGE(CT11:CT13)-AVERAGE(CT6:CT8)</f>
        <v>16.414466008813132</v>
      </c>
      <c r="CU18" s="1" t="s">
        <v>2</v>
      </c>
      <c r="CV18" s="1">
        <f>SQRT((1/(1/CV6^2+1/CV7^2+1/CV8^2)+1/(1/CV12^2+1/CV13^2+1/CV14^2)))</f>
        <v>2.028312651981107</v>
      </c>
      <c r="CW18" s="1">
        <f>AVERAGE(CW11:CW13)-AVERAGE(CW6:CW8)</f>
        <v>18.305700931004811</v>
      </c>
      <c r="CX18" s="1" t="s">
        <v>2</v>
      </c>
      <c r="CY18" s="1">
        <f>SQRT((1/(1/CY6^2+1/CY7^2+1/CY8^2)+1/(1/CY12^2+1/CY13^2+1/CY14^2)))</f>
        <v>2.9625845784273475</v>
      </c>
      <c r="CZ18" s="1">
        <f>AVERAGE(CZ11:CZ13)-AVERAGE(CZ6:CZ8)</f>
        <v>15.517737838253424</v>
      </c>
      <c r="DA18" s="1" t="s">
        <v>2</v>
      </c>
      <c r="DB18" s="1">
        <f>SQRT((1/(1/DB6^2+1/DB7^2+1/DB8^2)+1/(1/DB12^2+1/DB13^2+1/DB14^2)))</f>
        <v>1.6422932951124583</v>
      </c>
      <c r="DC18" s="1">
        <f>AVERAGE(DC11:DC13)-AVERAGE(DC6:DC8)</f>
        <v>15.693267753062383</v>
      </c>
      <c r="DD18" s="1" t="s">
        <v>2</v>
      </c>
      <c r="DE18" s="1">
        <f>SQRT((1/(1/DE6^2+1/DE7^2+1/DE8^2)+1/(1/DE12^2+1/DE13^2+1/DE14^2)))</f>
        <v>1.5676383466898662</v>
      </c>
      <c r="DF18" s="1">
        <f>AVERAGE(DF11:DF13)-AVERAGE(DF6:DF8)</f>
        <v>14.079544697309212</v>
      </c>
      <c r="DG18" s="1" t="s">
        <v>2</v>
      </c>
      <c r="DH18" s="1">
        <f>SQRT((1/(1/DH6^2+1/DH7^2+1/DH8^2)+1/(1/DH12^2+1/DH13^2+1/DH14^2)))</f>
        <v>1.987534256995616</v>
      </c>
      <c r="DI18" s="1">
        <f>AVERAGE(DI11:DI13)-AVERAGE(DI6:DI8)</f>
        <v>15.003500362694897</v>
      </c>
      <c r="DJ18" s="1" t="s">
        <v>2</v>
      </c>
      <c r="DK18" s="1">
        <f>SQRT((1/(1/DK6^2+1/DK7^2+1/DK8^2)+1/(1/DK12^2+1/DK13^2+1/DK14^2)))</f>
        <v>0.89059408510767024</v>
      </c>
      <c r="DL18" s="26">
        <f>AVERAGE(DL11:DL13)-AVERAGE(DL6:DL8)</f>
        <v>15.92645624501343</v>
      </c>
      <c r="DM18" s="26"/>
      <c r="DN18" s="26">
        <f>SQRT((1/(1/DN6^2+1/DN7^2+1/DN8^2)+1/(1/DN12^2+1/DN13^2+1/DN14^2)))</f>
        <v>0.33311864808308572</v>
      </c>
      <c r="DO18" s="55">
        <f>STDEVA(AU18,CH18,AR18,DF18,DC18,CZ18,CT18,CN18,CB18,AL18,BY18,BV18,AI18,BS18,BP18,BM18,BJ18,AF18,BG18,BD18)</f>
        <v>1.9314334231992714</v>
      </c>
    </row>
    <row r="19" spans="1:119" s="52" customFormat="1" x14ac:dyDescent="0.2">
      <c r="B19" s="109" t="s">
        <v>8</v>
      </c>
      <c r="C19" s="110"/>
      <c r="D19" s="110"/>
      <c r="E19" s="110"/>
      <c r="F19" s="110"/>
      <c r="G19" s="110"/>
      <c r="H19" s="110"/>
      <c r="I19" s="110"/>
      <c r="J19" s="110"/>
      <c r="K19" s="111"/>
      <c r="L19" s="111"/>
      <c r="M19" s="111"/>
      <c r="N19" s="111"/>
      <c r="O19" s="111"/>
      <c r="P19" s="111"/>
      <c r="Q19" s="112"/>
      <c r="R19" s="112"/>
      <c r="S19" s="112"/>
      <c r="T19" s="112"/>
      <c r="U19" s="112"/>
      <c r="V19" s="112"/>
      <c r="W19" s="110"/>
      <c r="X19" s="110"/>
      <c r="Y19" s="110"/>
      <c r="AA19" s="102"/>
      <c r="CK19" s="101"/>
      <c r="CL19" s="101"/>
      <c r="CM19" s="101"/>
      <c r="DC19" s="101"/>
      <c r="DD19" s="101"/>
      <c r="DE19" s="101"/>
      <c r="DI19" s="101"/>
      <c r="DJ19" s="101"/>
      <c r="DK19" s="101"/>
    </row>
    <row r="20" spans="1:119" x14ac:dyDescent="0.2">
      <c r="A20" t="s">
        <v>54</v>
      </c>
      <c r="B20" s="106">
        <f>B6-B5</f>
        <v>-3.5364727696901568</v>
      </c>
      <c r="C20" s="106" t="s">
        <v>2</v>
      </c>
      <c r="D20" s="106">
        <f t="shared" ref="D20:D29" si="0">SQRT(1/(1/D5^2+1/D6^2))</f>
        <v>1.6360334152049283</v>
      </c>
      <c r="E20" s="106">
        <f t="shared" ref="E20:E29" si="1">E6-E5</f>
        <v>0.70566496726920391</v>
      </c>
      <c r="F20" s="106" t="s">
        <v>2</v>
      </c>
      <c r="G20" s="106">
        <f t="shared" ref="G20:G29" si="2">SQRT(1/(1/G5^2+1/G6^2))</f>
        <v>1.6760341660692715</v>
      </c>
      <c r="H20" s="106">
        <f t="shared" ref="H20:H29" si="3">H6-H5</f>
        <v>-0.56853185488470004</v>
      </c>
      <c r="I20" s="106" t="s">
        <v>2</v>
      </c>
      <c r="J20" s="106">
        <f t="shared" ref="J20:J29" si="4">SQRT(1/(1/J5^2+1/J6^2))</f>
        <v>1.0175920247037966</v>
      </c>
      <c r="K20" s="107">
        <f t="shared" ref="K20:K29" si="5">K6-K5</f>
        <v>-0.65407281865903499</v>
      </c>
      <c r="L20" s="107" t="s">
        <v>2</v>
      </c>
      <c r="M20" s="107">
        <f t="shared" ref="M20:M29" si="6">SQRT(1/(1/M5^2+1/M6^2))</f>
        <v>0.61847232691950449</v>
      </c>
      <c r="N20" s="107">
        <f t="shared" ref="N20:N29" si="7">N6-N5</f>
        <v>7.3401129031183139</v>
      </c>
      <c r="O20" s="107" t="s">
        <v>2</v>
      </c>
      <c r="P20" s="107">
        <f t="shared" ref="P20:P29" si="8">SQRT(1/(1/P5^2+1/P6^2))</f>
        <v>1.6722389452800335</v>
      </c>
      <c r="Q20" s="106">
        <f t="shared" ref="Q20:Q29" si="9">Q6-Q5</f>
        <v>0.18955585169199907</v>
      </c>
      <c r="R20" s="106" t="s">
        <v>2</v>
      </c>
      <c r="S20" s="106">
        <f t="shared" ref="S20:S29" si="10">SQRT(1/(1/S5^2+1/S6^2))</f>
        <v>1.1460633583720887</v>
      </c>
      <c r="T20" s="106">
        <f t="shared" ref="T20:T29" si="11">T6-T5</f>
        <v>1.8382418495804771</v>
      </c>
      <c r="U20" s="106" t="s">
        <v>2</v>
      </c>
      <c r="V20" s="106">
        <f t="shared" ref="V20:V29" si="12">SQRT(1/(1/V5^2+1/V6^2))</f>
        <v>1.1400677383405624</v>
      </c>
      <c r="W20" s="106">
        <f t="shared" ref="W20:W29" si="13">W6-W5</f>
        <v>4.8374831661804905</v>
      </c>
      <c r="X20" s="106" t="s">
        <v>2</v>
      </c>
      <c r="Y20" s="106">
        <f t="shared" ref="Y20:Y29" si="14">SQRT(1/(1/Y5^2+1/Y6^2))</f>
        <v>1.5923163995102751</v>
      </c>
      <c r="Z20" s="11">
        <f t="shared" ref="Z20:Z29" si="15">AVERAGE(B20,E20,H20,Q20,T20,W20)</f>
        <v>0.57765686835788566</v>
      </c>
      <c r="AA20" s="12" t="s">
        <v>2</v>
      </c>
      <c r="AB20" s="11">
        <f t="shared" ref="AB20:AB29" si="16">STDEVA(B20,E20,H20,Q20,T20,W20)/SQRT(COUNT(B20,E20,H20,Q20,T20,W20))</f>
        <v>1.1275639571362501</v>
      </c>
      <c r="AF20" s="90">
        <f t="shared" ref="AF20:AF29" si="17">AF6-AF5</f>
        <v>-0.89158281172896281</v>
      </c>
      <c r="AG20" s="90" t="s">
        <v>2</v>
      </c>
      <c r="AH20" s="90">
        <f t="shared" ref="AH20:AH29" si="18">SQRT(1/(1/AH5^2+1/AH6^2))</f>
        <v>0.99576288991231188</v>
      </c>
      <c r="AI20" s="90">
        <f t="shared" ref="AI20:AI29" si="19">AI6-AI5</f>
        <v>0.60476279848242598</v>
      </c>
      <c r="AJ20" s="90" t="s">
        <v>2</v>
      </c>
      <c r="AK20" s="90">
        <f t="shared" ref="AK20:AK29" si="20">SQRT(1/(1/AK5^2+1/AK6^2))</f>
        <v>0.93320741282159059</v>
      </c>
      <c r="AL20" s="90">
        <f t="shared" ref="AL20:AL29" si="21">AL6-AL5</f>
        <v>5.177373980401299</v>
      </c>
      <c r="AM20" s="90" t="s">
        <v>2</v>
      </c>
      <c r="AN20" s="90">
        <f t="shared" ref="AN20:AN29" si="22">SQRT(1/(1/AN5^2+1/AN6^2))</f>
        <v>2.1976801890399211</v>
      </c>
      <c r="AO20" s="90">
        <f t="shared" ref="AO20:AO29" si="23">AO6-AO5</f>
        <v>-7.5508880905015729E-2</v>
      </c>
      <c r="AP20" s="90" t="s">
        <v>2</v>
      </c>
      <c r="AQ20" s="90">
        <f t="shared" ref="AQ20:AQ29" si="24">SQRT(1/(1/AQ5^2+1/AQ6^2))</f>
        <v>1.6360202182124219</v>
      </c>
      <c r="AR20" s="90">
        <f t="shared" ref="AR20:AR29" si="25">AR6-AR5</f>
        <v>0.75904175281213426</v>
      </c>
      <c r="AS20" s="90" t="s">
        <v>2</v>
      </c>
      <c r="AT20" s="90">
        <f t="shared" ref="AT20:AT29" si="26">SQRT(1/(1/AT5^2+1/AT6^2))</f>
        <v>1.4675172831335985</v>
      </c>
      <c r="AU20" s="90">
        <f t="shared" ref="AU20:AU29" si="27">AU6-AU5</f>
        <v>3.3413134802858799</v>
      </c>
      <c r="AV20" s="90" t="s">
        <v>2</v>
      </c>
      <c r="AW20" s="90">
        <f t="shared" ref="AW20:AW29" si="28">SQRT(1/(1/AW5^2+1/AW6^2))</f>
        <v>2.4921487896851779</v>
      </c>
      <c r="AX20" s="97">
        <f t="shared" ref="AX20:AX27" si="29">AX6-AX5</f>
        <v>1.0239399626058585</v>
      </c>
      <c r="AY20" s="97" t="s">
        <v>2</v>
      </c>
      <c r="AZ20" s="97">
        <f t="shared" ref="AZ20:AZ27" si="30">SQRT(1/(1/AZ5^2+1/AZ6^2))</f>
        <v>1.7596855226412369</v>
      </c>
      <c r="BA20" s="97"/>
      <c r="BB20" s="97"/>
      <c r="BC20" s="97"/>
      <c r="BD20" s="97">
        <f t="shared" ref="BD20:BD29" si="31">BD6-BD5</f>
        <v>3.602816251154108</v>
      </c>
      <c r="BE20" s="97" t="s">
        <v>2</v>
      </c>
      <c r="BF20" s="97">
        <f t="shared" ref="BF20:BF29" si="32">SQRT(1/(1/BF5^2+1/BF6^2))</f>
        <v>1.5832251388610448</v>
      </c>
      <c r="BG20" s="97">
        <f t="shared" ref="BG20:BG29" si="33">BG6-BG5</f>
        <v>-1.0520124436965723</v>
      </c>
      <c r="BH20" s="97" t="s">
        <v>2</v>
      </c>
      <c r="BI20" s="97">
        <f t="shared" ref="BI20:BI29" si="34">SQRT(1/(1/BI5^2+1/BI6^2))</f>
        <v>1.2017052556087198</v>
      </c>
      <c r="BJ20" s="97">
        <f t="shared" ref="BJ20:BJ29" si="35">BJ6-BJ5</f>
        <v>0.45230375279514945</v>
      </c>
      <c r="BK20" s="97" t="s">
        <v>2</v>
      </c>
      <c r="BL20" s="97">
        <f t="shared" ref="BL20:BL29" si="36">SQRT(1/(1/BL5^2+1/BL6^2))</f>
        <v>1.0978265443248201</v>
      </c>
      <c r="BM20" s="97">
        <f t="shared" ref="BM20:BM29" si="37">BM6-BM5</f>
        <v>-4.2377057537065213</v>
      </c>
      <c r="BN20" s="97" t="s">
        <v>2</v>
      </c>
      <c r="BO20" s="97">
        <f t="shared" ref="BO20:BO29" si="38">SQRT(1/(1/BO5^2+1/BO6^2))</f>
        <v>1.7638894167357952</v>
      </c>
      <c r="BP20" s="97">
        <f t="shared" ref="BP20:BP29" si="39">BP6-BP5</f>
        <v>2.6938850711202278</v>
      </c>
      <c r="BQ20" s="97" t="s">
        <v>2</v>
      </c>
      <c r="BR20" s="97">
        <f t="shared" ref="BR20:BR29" si="40">SQRT(1/(1/BR5^2+1/BR6^2))</f>
        <v>1.6247900666776436</v>
      </c>
      <c r="BS20" s="97">
        <f t="shared" ref="BS20:BS26" si="41">BS6-BS5</f>
        <v>1.9937468506067155</v>
      </c>
      <c r="BT20" s="97" t="s">
        <v>2</v>
      </c>
      <c r="BU20" s="97">
        <f t="shared" ref="BU20:BU26" si="42">SQRT(1/(1/BU5^2+1/BU6^2))</f>
        <v>1.3028885405616051</v>
      </c>
      <c r="BV20" s="97">
        <f t="shared" ref="BV20:BV29" si="43">BV6-BV5</f>
        <v>2.2452768258104356</v>
      </c>
      <c r="BW20" s="97" t="s">
        <v>2</v>
      </c>
      <c r="BX20" s="97">
        <f t="shared" ref="BX20:BX29" si="44">SQRT(1/(1/BX5^2+1/BX6^2))</f>
        <v>1.7225982968579427</v>
      </c>
      <c r="BY20" s="97"/>
      <c r="BZ20" s="97"/>
      <c r="CA20" s="97"/>
      <c r="CB20" s="97">
        <f t="shared" ref="CB20:CB29" si="45">CB6-CB5</f>
        <v>0.82525681241773796</v>
      </c>
      <c r="CC20" s="97" t="s">
        <v>2</v>
      </c>
      <c r="CD20" s="97">
        <f t="shared" ref="CD20:CD29" si="46">SQRT(1/(1/CD5^2+1/CD6^2))</f>
        <v>1.2884104345799303</v>
      </c>
      <c r="CE20" s="97"/>
      <c r="CF20" s="97"/>
      <c r="CG20" s="97"/>
      <c r="CH20" s="97">
        <f t="shared" ref="CH20:CH29" si="47">CH6-CH5</f>
        <v>-2.68078723754439</v>
      </c>
      <c r="CI20" s="97" t="s">
        <v>2</v>
      </c>
      <c r="CJ20" s="97">
        <f t="shared" ref="CJ20:CJ29" si="48">SQRT(1/(1/CJ5^2+1/CJ6^2))</f>
        <v>1.3747001594998733</v>
      </c>
      <c r="CK20" s="97">
        <f t="shared" ref="CK20:CK29" si="49">CK6-CK5</f>
        <v>0</v>
      </c>
      <c r="CL20" s="97" t="s">
        <v>2</v>
      </c>
      <c r="CM20" s="97">
        <f t="shared" ref="CM20:CM29" si="50">SQRT(1/(1/CM5^2+1/CM6^2))</f>
        <v>1.6175824573002788</v>
      </c>
      <c r="CN20" s="1">
        <f>CN6-CN5</f>
        <v>-3.5580468211338072</v>
      </c>
      <c r="CO20" s="1" t="s">
        <v>2</v>
      </c>
      <c r="CP20" s="1">
        <f>SQRT(1/(1/CP5^2+1/CP6^2))</f>
        <v>1.0532862638270155</v>
      </c>
      <c r="CQ20" s="1">
        <f t="shared" ref="CQ20:CQ29" si="51">CQ6-CQ5</f>
        <v>-4.8180197698254545E-2</v>
      </c>
      <c r="CR20" s="1" t="s">
        <v>2</v>
      </c>
      <c r="CS20" s="1">
        <f t="shared" ref="CS20:CS29" si="52">SQRT(1/(1/CS5^2+1/CS6^2))</f>
        <v>1.6656235285505081</v>
      </c>
      <c r="CT20" s="1">
        <f t="shared" ref="CT20:CT29" si="53">CT6-CT5</f>
        <v>6.3887178592115781</v>
      </c>
      <c r="CU20" s="1" t="s">
        <v>2</v>
      </c>
      <c r="CV20" s="1">
        <f t="shared" ref="CV20:CV29" si="54">SQRT(1/(1/CV5^2+1/CV6^2))</f>
        <v>1.7498516556331138</v>
      </c>
      <c r="CW20" s="1">
        <f t="shared" ref="CW20:CW29" si="55">CW6-CW5</f>
        <v>2.8797758785107384</v>
      </c>
      <c r="CX20" s="1" t="s">
        <v>2</v>
      </c>
      <c r="CY20" s="1">
        <f t="shared" ref="CY20:CY29" si="56">SQRT(1/(1/CY5^2+1/CY6^2))</f>
        <v>2.6389140813148044</v>
      </c>
      <c r="CZ20" s="1">
        <f t="shared" ref="CZ20:CZ29" si="57">CZ6-CZ5</f>
        <v>-0.4844676916819779</v>
      </c>
      <c r="DA20" s="1" t="s">
        <v>2</v>
      </c>
      <c r="DB20" s="1">
        <f t="shared" ref="DB20:DB29" si="58">SQRT(1/(1/DB5^2+1/DB6^2))</f>
        <v>1.4504170151979143</v>
      </c>
      <c r="DC20" s="1">
        <f t="shared" ref="DC20:DC29" si="59">DC6-DC5</f>
        <v>-3.2816736784387892</v>
      </c>
      <c r="DD20" s="1" t="s">
        <v>2</v>
      </c>
      <c r="DE20" s="1">
        <f t="shared" ref="DE20:DE29" si="60">SQRT(1/(1/DE5^2+1/DE6^2))</f>
        <v>1.3379751828617839</v>
      </c>
      <c r="DF20" s="1">
        <f t="shared" ref="DF20:DF29" si="61">DF6-DF5</f>
        <v>-4.2543273129821451</v>
      </c>
      <c r="DG20" s="1" t="s">
        <v>2</v>
      </c>
      <c r="DH20" s="1">
        <f t="shared" ref="DH20:DH29" si="62">SQRT(1/(1/DH5^2+1/DH6^2))</f>
        <v>1.6733090039725678</v>
      </c>
      <c r="DI20" s="1">
        <f t="shared" ref="DI20:DI29" si="63">DI6-DI5</f>
        <v>2.6538017251852573</v>
      </c>
      <c r="DJ20" s="1" t="s">
        <v>2</v>
      </c>
      <c r="DK20" s="1">
        <f t="shared" ref="DK20:DK29" si="64">SQRT(1/(1/DK5^2+1/DK6^2))</f>
        <v>0.77261052030285204</v>
      </c>
      <c r="DL20" s="11">
        <f t="shared" ref="DL20:DL29" si="65">AVERAGE(AU20,CH20,AR20,AO20,CE20,DF20,CZ20,CW20,CT20,CQ20,CN20,CB20,AL20,BY20,BV20,AI20,BS20,BP20,BM20,BJ20,AF20,BG20,BD20,BA20,AX20)</f>
        <v>0.66843600568802919</v>
      </c>
      <c r="DM20" s="12" t="s">
        <v>2</v>
      </c>
      <c r="DN20" s="11">
        <f>STDEVA((AU20,CH20,AR20,AO20,CE20,DF20,CZ20,CW20,CT20,CQ20,CN20,CB20,AL20,BY20,BV20,AI20,BS20,BP20,BM20,BJ20,AF20,BG20,BD20,BA20,AX20))/SQRT(COUNTA(AU20,CH20,AR20,AO20,CE20,DF20,CZ20,CW20,CT20,CQ20,CN20,CB20,AL20,BY20,BV20,AI20,BS20,BP20,BM20,BJ20,AF20,BG20,BD20,BA20,AX20))</f>
        <v>0.60199229896517026</v>
      </c>
    </row>
    <row r="21" spans="1:119" x14ac:dyDescent="0.2">
      <c r="A21" t="s">
        <v>55</v>
      </c>
      <c r="B21" s="106">
        <f t="shared" ref="B21:B29" si="66">B7-B6</f>
        <v>4.8199426007581287</v>
      </c>
      <c r="C21" s="106" t="s">
        <v>2</v>
      </c>
      <c r="D21" s="106">
        <f t="shared" si="0"/>
        <v>1.598973217573294</v>
      </c>
      <c r="E21" s="106">
        <f t="shared" si="1"/>
        <v>1.3126988202522014</v>
      </c>
      <c r="F21" s="106" t="s">
        <v>2</v>
      </c>
      <c r="G21" s="106">
        <f t="shared" si="2"/>
        <v>1.3422874077866336</v>
      </c>
      <c r="H21" s="106">
        <f t="shared" si="3"/>
        <v>-2.3779172302347291</v>
      </c>
      <c r="I21" s="106" t="s">
        <v>2</v>
      </c>
      <c r="J21" s="106">
        <f t="shared" si="4"/>
        <v>1.0181608084562148</v>
      </c>
      <c r="K21" s="107">
        <f t="shared" si="5"/>
        <v>1.4627988645865564</v>
      </c>
      <c r="L21" s="107" t="s">
        <v>2</v>
      </c>
      <c r="M21" s="107">
        <f t="shared" si="6"/>
        <v>0.58520822130519645</v>
      </c>
      <c r="N21" s="107">
        <f t="shared" si="7"/>
        <v>-5.4065499135806938</v>
      </c>
      <c r="O21" s="107" t="s">
        <v>2</v>
      </c>
      <c r="P21" s="107">
        <f t="shared" si="8"/>
        <v>1.6302657705676875</v>
      </c>
      <c r="Q21" s="106">
        <f t="shared" si="9"/>
        <v>-2.1837226787698718</v>
      </c>
      <c r="R21" s="106" t="s">
        <v>2</v>
      </c>
      <c r="S21" s="106">
        <f t="shared" si="10"/>
        <v>1.1456080460794471</v>
      </c>
      <c r="T21" s="106">
        <f t="shared" si="11"/>
        <v>-1.421002685080051</v>
      </c>
      <c r="U21" s="106" t="s">
        <v>2</v>
      </c>
      <c r="V21" s="106">
        <f t="shared" si="12"/>
        <v>1.1441964585303559</v>
      </c>
      <c r="W21" s="106">
        <f t="shared" si="13"/>
        <v>-1.5873694638126601</v>
      </c>
      <c r="X21" s="106" t="s">
        <v>2</v>
      </c>
      <c r="Y21" s="106">
        <f t="shared" si="14"/>
        <v>1.5916080414223359</v>
      </c>
      <c r="Z21" s="11">
        <f t="shared" si="15"/>
        <v>-0.23956177281449698</v>
      </c>
      <c r="AA21" s="12" t="s">
        <v>2</v>
      </c>
      <c r="AB21" s="11">
        <f t="shared" si="16"/>
        <v>1.1485180501643715</v>
      </c>
      <c r="AF21" s="90">
        <f t="shared" si="17"/>
        <v>-1.079539383428088</v>
      </c>
      <c r="AG21" s="90" t="s">
        <v>2</v>
      </c>
      <c r="AH21" s="90">
        <f t="shared" si="18"/>
        <v>0.91715450093522588</v>
      </c>
      <c r="AI21" s="90">
        <f t="shared" si="19"/>
        <v>1.8424216304366894</v>
      </c>
      <c r="AJ21" s="90" t="s">
        <v>2</v>
      </c>
      <c r="AK21" s="90">
        <f t="shared" si="20"/>
        <v>0.92722029431223874</v>
      </c>
      <c r="AL21" s="90">
        <f t="shared" si="21"/>
        <v>-4.8121804555438779</v>
      </c>
      <c r="AM21" s="90" t="s">
        <v>2</v>
      </c>
      <c r="AN21" s="90">
        <f t="shared" si="22"/>
        <v>2.1698416797587456</v>
      </c>
      <c r="AO21" s="90">
        <f t="shared" si="23"/>
        <v>2.7967615328572393</v>
      </c>
      <c r="AP21" s="90" t="s">
        <v>2</v>
      </c>
      <c r="AQ21" s="90">
        <f t="shared" si="24"/>
        <v>1.6415080156437607</v>
      </c>
      <c r="AR21" s="90">
        <f t="shared" si="25"/>
        <v>-1.3916541157685529</v>
      </c>
      <c r="AS21" s="90" t="s">
        <v>2</v>
      </c>
      <c r="AT21" s="90">
        <f t="shared" si="26"/>
        <v>1.250648628590658</v>
      </c>
      <c r="AU21" s="90">
        <f t="shared" si="27"/>
        <v>1.3801418669275858</v>
      </c>
      <c r="AV21" s="90" t="s">
        <v>2</v>
      </c>
      <c r="AW21" s="90">
        <f t="shared" si="28"/>
        <v>2.5263486568242515</v>
      </c>
      <c r="AX21" s="97">
        <f t="shared" si="29"/>
        <v>4.1296454717051354</v>
      </c>
      <c r="AY21" s="97" t="s">
        <v>2</v>
      </c>
      <c r="AZ21" s="97">
        <f t="shared" si="30"/>
        <v>1.7685028068683695</v>
      </c>
      <c r="BA21" s="97"/>
      <c r="BB21" s="97"/>
      <c r="BC21" s="97"/>
      <c r="BD21" s="97">
        <f t="shared" si="31"/>
        <v>-5.1246965418543251</v>
      </c>
      <c r="BE21" s="97" t="s">
        <v>2</v>
      </c>
      <c r="BF21" s="97">
        <f t="shared" si="32"/>
        <v>1.597097482434561</v>
      </c>
      <c r="BG21" s="97">
        <f t="shared" si="33"/>
        <v>1.2129324693314096</v>
      </c>
      <c r="BH21" s="97" t="s">
        <v>2</v>
      </c>
      <c r="BI21" s="97">
        <f t="shared" si="34"/>
        <v>1.0639149916006192</v>
      </c>
      <c r="BJ21" s="97">
        <f t="shared" si="35"/>
        <v>-1.4091961035293004</v>
      </c>
      <c r="BK21" s="97" t="s">
        <v>2</v>
      </c>
      <c r="BL21" s="97">
        <f t="shared" si="36"/>
        <v>1.1363120139169043</v>
      </c>
      <c r="BM21" s="97">
        <f t="shared" si="37"/>
        <v>4.3784114724341165</v>
      </c>
      <c r="BN21" s="97" t="s">
        <v>2</v>
      </c>
      <c r="BO21" s="97">
        <f t="shared" si="38"/>
        <v>1.7338661909582844</v>
      </c>
      <c r="BP21" s="97">
        <f t="shared" si="39"/>
        <v>-1.5728021388136106</v>
      </c>
      <c r="BQ21" s="97" t="s">
        <v>2</v>
      </c>
      <c r="BR21" s="97">
        <f t="shared" si="40"/>
        <v>1.618559558524153</v>
      </c>
      <c r="BS21" s="97">
        <f t="shared" si="41"/>
        <v>-2.9908147471061639</v>
      </c>
      <c r="BT21" s="97" t="s">
        <v>2</v>
      </c>
      <c r="BU21" s="97">
        <f t="shared" si="42"/>
        <v>0.90928798437834513</v>
      </c>
      <c r="BV21" s="97">
        <f t="shared" si="43"/>
        <v>2.9865178016287075E-2</v>
      </c>
      <c r="BW21" s="97" t="s">
        <v>2</v>
      </c>
      <c r="BX21" s="97">
        <f t="shared" si="44"/>
        <v>1.7278220888354008</v>
      </c>
      <c r="BY21" s="97">
        <f t="shared" ref="BY21:BY29" si="67">BY7-BY6</f>
        <v>-1.9766258687635698</v>
      </c>
      <c r="BZ21" s="97" t="s">
        <v>2</v>
      </c>
      <c r="CA21" s="97">
        <f t="shared" ref="CA21:CA29" si="68">SQRT(1/(1/CA6^2+1/CA7^2))</f>
        <v>1.60151298575632</v>
      </c>
      <c r="CB21" s="97">
        <f t="shared" si="45"/>
        <v>-4.782066867366261</v>
      </c>
      <c r="CC21" s="97" t="s">
        <v>2</v>
      </c>
      <c r="CD21" s="97">
        <f t="shared" si="46"/>
        <v>1.2887268920607409</v>
      </c>
      <c r="CE21" s="97">
        <f>CE7-CE6</f>
        <v>-1.6420582979446152</v>
      </c>
      <c r="CF21" s="97" t="s">
        <v>2</v>
      </c>
      <c r="CG21" s="97">
        <f>SQRT(1/(1/CG6^2+1/CG7^2))</f>
        <v>1.2747065393182928</v>
      </c>
      <c r="CH21" s="97">
        <f t="shared" si="47"/>
        <v>1.2913023079724759</v>
      </c>
      <c r="CI21" s="97" t="s">
        <v>2</v>
      </c>
      <c r="CJ21" s="97">
        <f t="shared" si="48"/>
        <v>1.3666251318628988</v>
      </c>
      <c r="CK21" s="97">
        <f t="shared" si="49"/>
        <v>3.43942771047778</v>
      </c>
      <c r="CL21" s="97" t="s">
        <v>2</v>
      </c>
      <c r="CM21" s="97">
        <f t="shared" si="50"/>
        <v>1.6088410898469014</v>
      </c>
      <c r="CN21" s="1">
        <f>CN7-CN6</f>
        <v>0.86290371223396534</v>
      </c>
      <c r="CO21" s="1" t="s">
        <v>2</v>
      </c>
      <c r="CP21" s="1">
        <f>SQRT(1/(1/CP6^2+1/CP7^2))</f>
        <v>1.1223356367992809</v>
      </c>
      <c r="CQ21" s="1">
        <f t="shared" si="51"/>
        <v>3.2587594235571338</v>
      </c>
      <c r="CR21" s="1" t="s">
        <v>2</v>
      </c>
      <c r="CS21" s="1">
        <f t="shared" si="52"/>
        <v>1.6627709583962715</v>
      </c>
      <c r="CT21" s="1">
        <f t="shared" si="53"/>
        <v>-5.7779006153059207</v>
      </c>
      <c r="CU21" s="1" t="s">
        <v>2</v>
      </c>
      <c r="CV21" s="1">
        <f t="shared" si="54"/>
        <v>1.7421434665881621</v>
      </c>
      <c r="CW21" s="1">
        <f t="shared" si="55"/>
        <v>-1.9641502489375888</v>
      </c>
      <c r="CX21" s="1" t="s">
        <v>2</v>
      </c>
      <c r="CY21" s="1">
        <f t="shared" si="56"/>
        <v>2.6371765134440142</v>
      </c>
      <c r="CZ21" s="1">
        <f t="shared" si="57"/>
        <v>-0.84982893183793706</v>
      </c>
      <c r="DA21" s="1" t="s">
        <v>2</v>
      </c>
      <c r="DB21" s="1">
        <f t="shared" si="58"/>
        <v>1.4504170151979143</v>
      </c>
      <c r="DC21" s="1">
        <f t="shared" si="59"/>
        <v>0.97897892333531544</v>
      </c>
      <c r="DD21" s="1" t="s">
        <v>2</v>
      </c>
      <c r="DE21" s="1">
        <f t="shared" si="60"/>
        <v>1.3358821003138395</v>
      </c>
      <c r="DF21" s="1">
        <f t="shared" si="61"/>
        <v>3.7352687933106559</v>
      </c>
      <c r="DG21" s="1" t="s">
        <v>2</v>
      </c>
      <c r="DH21" s="1">
        <f t="shared" si="62"/>
        <v>1.7052112075386181</v>
      </c>
      <c r="DI21" s="1">
        <f t="shared" si="63"/>
        <v>-3.9756586619951158</v>
      </c>
      <c r="DJ21" s="1" t="s">
        <v>2</v>
      </c>
      <c r="DK21" s="1">
        <f t="shared" si="64"/>
        <v>0.77809670877770221</v>
      </c>
      <c r="DL21" s="11">
        <f t="shared" si="65"/>
        <v>-0.43562918572571324</v>
      </c>
      <c r="DM21" s="12" t="s">
        <v>2</v>
      </c>
      <c r="DN21" s="11">
        <f>STDEVA((AU21,CH21,AR21,AO21,CE21,DF21,CZ21,CW21,CT21,CQ21,CN21,CB21,AL21,BY21,BV21,AI21,BS21,BP21,BM21,BJ21,AF21,BG21,BD21,BA21,AX21))/SQRT(COUNTA(AU21,CH21,AR21,AO21,CE21,DF21,CZ21,CW21,CT21,CQ21,CN21,CB21,AL21,BY21,BV21,AI21,BS21,BP21,BM21,BJ21,AF21,BG21,BD21,BA21,AX21))</f>
        <v>0.61179383740929172</v>
      </c>
    </row>
    <row r="22" spans="1:119" x14ac:dyDescent="0.2">
      <c r="A22" t="s">
        <v>56</v>
      </c>
      <c r="B22" s="106">
        <f t="shared" si="66"/>
        <v>3.5934771425938408</v>
      </c>
      <c r="C22" s="106" t="s">
        <v>2</v>
      </c>
      <c r="D22" s="106">
        <f t="shared" si="0"/>
        <v>1.6031033026882002</v>
      </c>
      <c r="E22" s="106">
        <f t="shared" si="1"/>
        <v>0.26017292307245654</v>
      </c>
      <c r="F22" s="106" t="s">
        <v>2</v>
      </c>
      <c r="G22" s="106">
        <f t="shared" si="2"/>
        <v>1.1576980230758784</v>
      </c>
      <c r="H22" s="106">
        <f t="shared" si="3"/>
        <v>5.2729545596555951</v>
      </c>
      <c r="I22" s="106" t="s">
        <v>2</v>
      </c>
      <c r="J22" s="106">
        <f t="shared" si="4"/>
        <v>1.017553140697143</v>
      </c>
      <c r="K22" s="107">
        <f t="shared" si="5"/>
        <v>-0.23493994235623816</v>
      </c>
      <c r="L22" s="107" t="s">
        <v>2</v>
      </c>
      <c r="M22" s="107">
        <f t="shared" si="6"/>
        <v>0.53397248937369768</v>
      </c>
      <c r="N22" s="107">
        <f t="shared" si="7"/>
        <v>0.63691798691478496</v>
      </c>
      <c r="O22" s="107" t="s">
        <v>2</v>
      </c>
      <c r="P22" s="107">
        <f t="shared" si="8"/>
        <v>1.6409048022391648</v>
      </c>
      <c r="Q22" s="106">
        <f t="shared" si="9"/>
        <v>1.9648289767674179</v>
      </c>
      <c r="R22" s="106" t="s">
        <v>2</v>
      </c>
      <c r="S22" s="106">
        <f t="shared" si="10"/>
        <v>1.1428852196527215</v>
      </c>
      <c r="T22" s="106">
        <f t="shared" si="11"/>
        <v>-1.5414635791932696</v>
      </c>
      <c r="U22" s="106" t="s">
        <v>2</v>
      </c>
      <c r="V22" s="106">
        <f t="shared" si="12"/>
        <v>1.1401484972314198</v>
      </c>
      <c r="W22" s="106">
        <f t="shared" si="13"/>
        <v>4.6812601477617122</v>
      </c>
      <c r="X22" s="106" t="s">
        <v>2</v>
      </c>
      <c r="Y22" s="106">
        <f t="shared" si="14"/>
        <v>1.6049383451029315</v>
      </c>
      <c r="Z22" s="11">
        <f t="shared" si="15"/>
        <v>2.3718716951096255</v>
      </c>
      <c r="AA22" s="12" t="s">
        <v>2</v>
      </c>
      <c r="AB22" s="11">
        <f t="shared" si="16"/>
        <v>1.0829131256170426</v>
      </c>
      <c r="AF22" s="90">
        <f t="shared" si="17"/>
        <v>1.4853011092031991</v>
      </c>
      <c r="AG22" s="90" t="s">
        <v>2</v>
      </c>
      <c r="AH22" s="90">
        <f t="shared" si="18"/>
        <v>0.85946496101372272</v>
      </c>
      <c r="AI22" s="90">
        <f t="shared" si="19"/>
        <v>-2.7725730289286403</v>
      </c>
      <c r="AJ22" s="90" t="s">
        <v>2</v>
      </c>
      <c r="AK22" s="90">
        <f t="shared" si="20"/>
        <v>0.92737090394664712</v>
      </c>
      <c r="AL22" s="90">
        <f t="shared" si="21"/>
        <v>-0.47309246834070962</v>
      </c>
      <c r="AM22" s="90" t="s">
        <v>2</v>
      </c>
      <c r="AN22" s="90">
        <f t="shared" si="22"/>
        <v>2.1592539955977741</v>
      </c>
      <c r="AO22" s="90">
        <f t="shared" si="23"/>
        <v>-6.4998293521357766</v>
      </c>
      <c r="AP22" s="90" t="s">
        <v>2</v>
      </c>
      <c r="AQ22" s="90">
        <f t="shared" si="24"/>
        <v>1.6384019942587733</v>
      </c>
      <c r="AR22" s="90">
        <f t="shared" si="25"/>
        <v>6.8975659930249122E-2</v>
      </c>
      <c r="AS22" s="90" t="s">
        <v>2</v>
      </c>
      <c r="AT22" s="90">
        <f t="shared" si="26"/>
        <v>1.095967131893115</v>
      </c>
      <c r="AU22" s="90">
        <f t="shared" si="27"/>
        <v>-2.1945280171726811</v>
      </c>
      <c r="AV22" s="90" t="s">
        <v>2</v>
      </c>
      <c r="AW22" s="90">
        <f t="shared" si="28"/>
        <v>2.5271126214154869</v>
      </c>
      <c r="AX22" s="97">
        <f t="shared" si="29"/>
        <v>-7.5823133425022569</v>
      </c>
      <c r="AY22" s="97" t="s">
        <v>2</v>
      </c>
      <c r="AZ22" s="97">
        <f t="shared" si="30"/>
        <v>1.7705542140755595</v>
      </c>
      <c r="BA22" s="97"/>
      <c r="BB22" s="97"/>
      <c r="BC22" s="97"/>
      <c r="BD22" s="97">
        <f t="shared" si="31"/>
        <v>-0.55959932567417425</v>
      </c>
      <c r="BE22" s="97" t="s">
        <v>2</v>
      </c>
      <c r="BF22" s="97">
        <f t="shared" si="32"/>
        <v>1.5899219080092624</v>
      </c>
      <c r="BG22" s="97">
        <f t="shared" si="33"/>
        <v>-3.7044766085406771</v>
      </c>
      <c r="BH22" s="97" t="s">
        <v>2</v>
      </c>
      <c r="BI22" s="97">
        <f t="shared" si="34"/>
        <v>0.96584164718120846</v>
      </c>
      <c r="BJ22" s="97">
        <f t="shared" si="35"/>
        <v>-2.5654723521738561</v>
      </c>
      <c r="BK22" s="97" t="s">
        <v>2</v>
      </c>
      <c r="BL22" s="97">
        <f t="shared" si="36"/>
        <v>1.1955186590465725</v>
      </c>
      <c r="BM22" s="97">
        <f t="shared" si="37"/>
        <v>3.0853857296166964</v>
      </c>
      <c r="BN22" s="97" t="s">
        <v>2</v>
      </c>
      <c r="BO22" s="97">
        <f t="shared" si="38"/>
        <v>1.7397742614633243</v>
      </c>
      <c r="BP22" s="97">
        <f t="shared" si="39"/>
        <v>3.3260726985624451</v>
      </c>
      <c r="BQ22" s="97" t="s">
        <v>2</v>
      </c>
      <c r="BR22" s="97">
        <f t="shared" si="40"/>
        <v>1.3349816425754335</v>
      </c>
      <c r="BS22" s="97">
        <f t="shared" si="41"/>
        <v>-0.15719219859999711</v>
      </c>
      <c r="BT22" s="97" t="s">
        <v>2</v>
      </c>
      <c r="BU22" s="97">
        <f t="shared" si="42"/>
        <v>0.7435448448556311</v>
      </c>
      <c r="BV22" s="97">
        <f t="shared" si="43"/>
        <v>1.283313507542406</v>
      </c>
      <c r="BW22" s="97" t="s">
        <v>2</v>
      </c>
      <c r="BX22" s="97">
        <f t="shared" si="44"/>
        <v>1.7228338354898196</v>
      </c>
      <c r="BY22" s="97">
        <f t="shared" si="67"/>
        <v>1.3104276499348302</v>
      </c>
      <c r="BZ22" s="97" t="s">
        <v>2</v>
      </c>
      <c r="CA22" s="97">
        <f t="shared" si="68"/>
        <v>1.5951828579407794</v>
      </c>
      <c r="CB22" s="97">
        <f t="shared" si="45"/>
        <v>3.9799706380019266</v>
      </c>
      <c r="CC22" s="97" t="s">
        <v>2</v>
      </c>
      <c r="CD22" s="97">
        <f t="shared" si="46"/>
        <v>1.2954829241162855</v>
      </c>
      <c r="CE22" s="97">
        <f>CE8-CE7</f>
        <v>-3.8607104671916055</v>
      </c>
      <c r="CF22" s="97" t="s">
        <v>2</v>
      </c>
      <c r="CG22" s="97">
        <f>SQRT(1/(1/CG7^2+1/CG8^2))</f>
        <v>1.2743076893993097</v>
      </c>
      <c r="CH22" s="97">
        <f t="shared" si="47"/>
        <v>-1.4121571216386712</v>
      </c>
      <c r="CI22" s="97" t="s">
        <v>2</v>
      </c>
      <c r="CJ22" s="97">
        <f t="shared" si="48"/>
        <v>1.3850757141789334</v>
      </c>
      <c r="CK22" s="97">
        <f t="shared" si="49"/>
        <v>-0.58730546148122187</v>
      </c>
      <c r="CL22" s="97" t="s">
        <v>2</v>
      </c>
      <c r="CM22" s="97">
        <f t="shared" si="50"/>
        <v>1.5924696006306609</v>
      </c>
      <c r="CN22" s="1"/>
      <c r="CO22" s="1"/>
      <c r="CP22" s="1"/>
      <c r="CQ22" s="1">
        <f t="shared" si="51"/>
        <v>-3.3580680013775002</v>
      </c>
      <c r="CR22" s="1" t="s">
        <v>2</v>
      </c>
      <c r="CS22" s="1">
        <f t="shared" si="52"/>
        <v>1.66398775500027</v>
      </c>
      <c r="CT22" s="1">
        <f t="shared" si="53"/>
        <v>1.9190475134004394</v>
      </c>
      <c r="CU22" s="1" t="s">
        <v>2</v>
      </c>
      <c r="CV22" s="1">
        <f t="shared" si="54"/>
        <v>1.7619172284557076</v>
      </c>
      <c r="CW22" s="1">
        <f t="shared" si="55"/>
        <v>-1.1565846238660313</v>
      </c>
      <c r="CX22" s="1" t="s">
        <v>2</v>
      </c>
      <c r="CY22" s="1">
        <f t="shared" si="56"/>
        <v>2.4902506868240555</v>
      </c>
      <c r="CZ22" s="1">
        <f t="shared" si="57"/>
        <v>4.2773130099037502</v>
      </c>
      <c r="DA22" s="1" t="s">
        <v>2</v>
      </c>
      <c r="DB22" s="1">
        <f t="shared" si="58"/>
        <v>1.4084038963008543</v>
      </c>
      <c r="DC22" s="1">
        <f t="shared" si="59"/>
        <v>-1.1693023421166515</v>
      </c>
      <c r="DD22" s="1" t="s">
        <v>2</v>
      </c>
      <c r="DE22" s="1">
        <f t="shared" si="60"/>
        <v>1.3598799697768116</v>
      </c>
      <c r="DF22" s="1">
        <f t="shared" si="61"/>
        <v>-0.34754078888410511</v>
      </c>
      <c r="DG22" s="1" t="s">
        <v>2</v>
      </c>
      <c r="DH22" s="1">
        <f t="shared" si="62"/>
        <v>1.7388764919592785</v>
      </c>
      <c r="DI22" s="1">
        <f t="shared" si="63"/>
        <v>1.5404466000712418</v>
      </c>
      <c r="DJ22" s="1" t="s">
        <v>2</v>
      </c>
      <c r="DK22" s="1">
        <f t="shared" si="64"/>
        <v>0.77275224312589896</v>
      </c>
      <c r="DL22" s="11">
        <f t="shared" si="65"/>
        <v>-0.69166652960568431</v>
      </c>
      <c r="DM22" s="12" t="s">
        <v>2</v>
      </c>
      <c r="DN22" s="11">
        <f>STDEVA((AU22,CH22,AR22,AO22,CE22,DF22,CZ22,CW22,CT22,CQ22,CN22,CB22,AL22,BY22,BV22,AI22,BS22,BP22,BM22,BJ22,AF22,BG22,BD22,BA22,AX22))/SQRT(COUNTA(AU22,CH22,AR22,AO22,CE22,DF22,CZ22,CW22,CT22,CQ22,CN22,CB22,AL22,BY22,BV22,AI22,BS22,BP22,BM22,BJ22,AF22,BG22,BD22,BA22,AX22))</f>
        <v>0.65292837346465449</v>
      </c>
    </row>
    <row r="23" spans="1:119" x14ac:dyDescent="0.2">
      <c r="A23" t="s">
        <v>57</v>
      </c>
      <c r="B23" s="106">
        <f t="shared" si="66"/>
        <v>7.2419647580951292</v>
      </c>
      <c r="C23" s="106" t="s">
        <v>2</v>
      </c>
      <c r="D23" s="106">
        <f t="shared" si="0"/>
        <v>1.635884171886566</v>
      </c>
      <c r="E23" s="106">
        <f t="shared" si="1"/>
        <v>11.12530042871329</v>
      </c>
      <c r="F23" s="106" t="s">
        <v>2</v>
      </c>
      <c r="G23" s="106">
        <f t="shared" si="2"/>
        <v>1.1598589311423788</v>
      </c>
      <c r="H23" s="106">
        <f t="shared" si="3"/>
        <v>7.0597293123183533</v>
      </c>
      <c r="I23" s="106" t="s">
        <v>2</v>
      </c>
      <c r="J23" s="106">
        <f t="shared" si="4"/>
        <v>0.93049589830894008</v>
      </c>
      <c r="K23" s="107">
        <f t="shared" si="5"/>
        <v>5.7814970272437307</v>
      </c>
      <c r="L23" s="107" t="s">
        <v>2</v>
      </c>
      <c r="M23" s="107">
        <f t="shared" si="6"/>
        <v>0.5322604273562036</v>
      </c>
      <c r="N23" s="107">
        <f t="shared" si="7"/>
        <v>4.7959961568698759</v>
      </c>
      <c r="O23" s="107" t="s">
        <v>2</v>
      </c>
      <c r="P23" s="107">
        <f t="shared" si="8"/>
        <v>1.6156646571090012</v>
      </c>
      <c r="Q23" s="106">
        <f t="shared" si="9"/>
        <v>7.6710203908774162</v>
      </c>
      <c r="R23" s="106" t="s">
        <v>2</v>
      </c>
      <c r="S23" s="106">
        <f t="shared" si="10"/>
        <v>1.1443640476084191</v>
      </c>
      <c r="T23" s="106">
        <f t="shared" si="11"/>
        <v>8.4104702687010082</v>
      </c>
      <c r="U23" s="106" t="s">
        <v>2</v>
      </c>
      <c r="V23" s="106">
        <f t="shared" si="12"/>
        <v>1.1452723868495323</v>
      </c>
      <c r="W23" s="106">
        <f t="shared" si="13"/>
        <v>5.1495455184334951</v>
      </c>
      <c r="X23" s="106" t="s">
        <v>2</v>
      </c>
      <c r="Y23" s="106">
        <f t="shared" si="14"/>
        <v>1.6147371266264312</v>
      </c>
      <c r="Z23" s="11">
        <f t="shared" si="15"/>
        <v>7.7763384461897829</v>
      </c>
      <c r="AA23" s="12" t="s">
        <v>2</v>
      </c>
      <c r="AB23" s="11">
        <f t="shared" si="16"/>
        <v>0.80265987807352535</v>
      </c>
      <c r="AF23" s="90">
        <f t="shared" si="17"/>
        <v>3.7442775339537882</v>
      </c>
      <c r="AG23" s="90" t="s">
        <v>2</v>
      </c>
      <c r="AH23" s="90">
        <f t="shared" si="18"/>
        <v>0.85910542095826414</v>
      </c>
      <c r="AI23" s="90">
        <f t="shared" si="19"/>
        <v>0.8595935682681457</v>
      </c>
      <c r="AJ23" s="90" t="s">
        <v>2</v>
      </c>
      <c r="AK23" s="90">
        <f t="shared" si="20"/>
        <v>1.0564815671136816</v>
      </c>
      <c r="AL23" s="90">
        <f t="shared" si="21"/>
        <v>7.3191871280803298</v>
      </c>
      <c r="AM23" s="90" t="s">
        <v>2</v>
      </c>
      <c r="AN23" s="90">
        <f t="shared" si="22"/>
        <v>2.1811710274008305</v>
      </c>
      <c r="AO23" s="90">
        <f t="shared" si="23"/>
        <v>13.570716885368039</v>
      </c>
      <c r="AP23" s="90" t="s">
        <v>2</v>
      </c>
      <c r="AQ23" s="90">
        <f t="shared" si="24"/>
        <v>1.6445355113231441</v>
      </c>
      <c r="AR23" s="90">
        <f t="shared" si="25"/>
        <v>3.7895955860103285</v>
      </c>
      <c r="AS23" s="90" t="s">
        <v>2</v>
      </c>
      <c r="AT23" s="90">
        <f t="shared" si="26"/>
        <v>1.0921720313492462</v>
      </c>
      <c r="AU23" s="90">
        <f t="shared" si="27"/>
        <v>0.34229698489318494</v>
      </c>
      <c r="AV23" s="90" t="s">
        <v>2</v>
      </c>
      <c r="AW23" s="90">
        <f t="shared" si="28"/>
        <v>2.4886441637355472</v>
      </c>
      <c r="AX23" s="97">
        <f t="shared" si="29"/>
        <v>8.2577279319477892</v>
      </c>
      <c r="AY23" s="97" t="s">
        <v>2</v>
      </c>
      <c r="AZ23" s="97">
        <f t="shared" si="30"/>
        <v>1.751346268436339</v>
      </c>
      <c r="BA23" s="97">
        <f>BA9-BA8</f>
        <v>10.320630383656049</v>
      </c>
      <c r="BB23" s="97" t="s">
        <v>2</v>
      </c>
      <c r="BC23" s="97">
        <f>SQRT(1/(1/BC8^2+1/BC9^2))</f>
        <v>1.2365528663177792</v>
      </c>
      <c r="BD23" s="97">
        <f t="shared" si="31"/>
        <v>8.1321429595400119</v>
      </c>
      <c r="BE23" s="97" t="s">
        <v>2</v>
      </c>
      <c r="BF23" s="97">
        <f t="shared" si="32"/>
        <v>1.568901424923355</v>
      </c>
      <c r="BG23" s="97">
        <f t="shared" si="33"/>
        <v>6.9728009967181546</v>
      </c>
      <c r="BH23" s="97" t="s">
        <v>2</v>
      </c>
      <c r="BI23" s="97">
        <f t="shared" si="34"/>
        <v>0.9647875613852076</v>
      </c>
      <c r="BJ23" s="97">
        <f t="shared" si="35"/>
        <v>2.2077656954831966</v>
      </c>
      <c r="BK23" s="97" t="s">
        <v>2</v>
      </c>
      <c r="BL23" s="97">
        <f t="shared" si="36"/>
        <v>1.2261170290398848</v>
      </c>
      <c r="BM23" s="97">
        <f t="shared" si="37"/>
        <v>1.8524011436585894</v>
      </c>
      <c r="BN23" s="97" t="s">
        <v>2</v>
      </c>
      <c r="BO23" s="97">
        <f t="shared" si="38"/>
        <v>1.7686051149395263</v>
      </c>
      <c r="BP23" s="97">
        <f t="shared" si="39"/>
        <v>3.9069316548860904</v>
      </c>
      <c r="BQ23" s="97" t="s">
        <v>2</v>
      </c>
      <c r="BR23" s="97">
        <f t="shared" si="40"/>
        <v>1.1531588591743267</v>
      </c>
      <c r="BS23" s="97">
        <f t="shared" si="41"/>
        <v>3.6064956472064971</v>
      </c>
      <c r="BT23" s="97" t="s">
        <v>2</v>
      </c>
      <c r="BU23" s="97">
        <f t="shared" si="42"/>
        <v>0.74869500833316271</v>
      </c>
      <c r="BV23" s="97">
        <f t="shared" si="43"/>
        <v>1.9750009701449116</v>
      </c>
      <c r="BW23" s="97" t="s">
        <v>2</v>
      </c>
      <c r="BX23" s="97">
        <f t="shared" si="44"/>
        <v>1.7180507906470217</v>
      </c>
      <c r="BY23" s="97">
        <f t="shared" si="67"/>
        <v>7.5332732456693261</v>
      </c>
      <c r="BZ23" s="97" t="s">
        <v>2</v>
      </c>
      <c r="CA23" s="97">
        <f t="shared" si="68"/>
        <v>1.5984372247843541</v>
      </c>
      <c r="CB23" s="97">
        <f t="shared" si="45"/>
        <v>4.7912870823664253</v>
      </c>
      <c r="CC23" s="97" t="s">
        <v>2</v>
      </c>
      <c r="CD23" s="97">
        <f t="shared" si="46"/>
        <v>1.2863750858418821</v>
      </c>
      <c r="CE23" s="97">
        <f>CE9-CE8</f>
        <v>7.503691162438539</v>
      </c>
      <c r="CF23" s="97" t="s">
        <v>2</v>
      </c>
      <c r="CG23" s="97">
        <f>SQRT(1/(1/CG8^2+1/CG9^2))</f>
        <v>1.2950218029960421</v>
      </c>
      <c r="CH23" s="97">
        <f t="shared" si="47"/>
        <v>5.5103590070819664</v>
      </c>
      <c r="CI23" s="97" t="s">
        <v>2</v>
      </c>
      <c r="CJ23" s="97">
        <f t="shared" si="48"/>
        <v>1.3965197109042975</v>
      </c>
      <c r="CK23" s="97">
        <f t="shared" si="49"/>
        <v>-3.516114811673468</v>
      </c>
      <c r="CL23" s="97" t="s">
        <v>2</v>
      </c>
      <c r="CM23" s="97">
        <f t="shared" si="50"/>
        <v>1.5853622831021117</v>
      </c>
      <c r="CN23" s="1"/>
      <c r="CO23" s="1"/>
      <c r="CP23" s="1"/>
      <c r="CQ23" s="1">
        <f t="shared" si="51"/>
        <v>7.1196546568950119</v>
      </c>
      <c r="CR23" s="1" t="s">
        <v>2</v>
      </c>
      <c r="CS23" s="1">
        <f t="shared" si="52"/>
        <v>1.66218507057488</v>
      </c>
      <c r="CT23" s="1">
        <f t="shared" si="53"/>
        <v>9.1814615251857319</v>
      </c>
      <c r="CU23" s="1" t="s">
        <v>2</v>
      </c>
      <c r="CV23" s="1">
        <f t="shared" si="54"/>
        <v>1.7821695967107507</v>
      </c>
      <c r="CW23" s="1">
        <f t="shared" si="55"/>
        <v>6.6831798776186844</v>
      </c>
      <c r="CX23" s="1" t="s">
        <v>2</v>
      </c>
      <c r="CY23" s="1">
        <f t="shared" si="56"/>
        <v>2.4829492571015161</v>
      </c>
      <c r="CZ23" s="1">
        <f t="shared" si="57"/>
        <v>5.5258846510796147</v>
      </c>
      <c r="DA23" s="1" t="s">
        <v>2</v>
      </c>
      <c r="DB23" s="1">
        <f t="shared" si="58"/>
        <v>1.4084038963008543</v>
      </c>
      <c r="DC23" s="1">
        <f t="shared" si="59"/>
        <v>-1.5620126722282173</v>
      </c>
      <c r="DD23" s="1" t="s">
        <v>2</v>
      </c>
      <c r="DE23" s="1">
        <f t="shared" si="60"/>
        <v>1.3744143596355132</v>
      </c>
      <c r="DF23" s="1">
        <f t="shared" si="61"/>
        <v>-0.9637764344999642</v>
      </c>
      <c r="DG23" s="1" t="s">
        <v>2</v>
      </c>
      <c r="DH23" s="1">
        <f t="shared" si="62"/>
        <v>1.7174491176512101</v>
      </c>
      <c r="DI23" s="1">
        <f t="shared" si="63"/>
        <v>2.8657391801830698</v>
      </c>
      <c r="DJ23" s="1" t="s">
        <v>2</v>
      </c>
      <c r="DK23" s="1">
        <f t="shared" si="64"/>
        <v>0.77436761148443944</v>
      </c>
      <c r="DL23" s="11">
        <f t="shared" si="65"/>
        <v>5.4059408268187701</v>
      </c>
      <c r="DM23" s="12" t="s">
        <v>2</v>
      </c>
      <c r="DN23" s="11">
        <f>STDEVA((AU23,CH23,AR23,AO23,CE23,DF23,CZ23,CW23,CT23,CQ23,CN23,CB23,AL23,BY23,BV23,AI23,BS23,BP23,BM23,BJ23,AF23,BG23,BD23,BA23,AX23))/SQRT(COUNTA(AU23,CH23,AR23,AO23,CE23,DF23,CZ23,CW23,CT23,CQ23,CN23,CB23,AL23,BY23,BV23,AI23,BS23,BP23,BM23,BJ23,AF23,BG23,BD23,BA23,AX23))</f>
        <v>0.70327800888109826</v>
      </c>
    </row>
    <row r="24" spans="1:119" x14ac:dyDescent="0.2">
      <c r="A24" t="s">
        <v>58</v>
      </c>
      <c r="B24" s="106">
        <f t="shared" si="66"/>
        <v>3.9965683282496842</v>
      </c>
      <c r="C24" s="106" t="s">
        <v>2</v>
      </c>
      <c r="D24" s="106">
        <f t="shared" si="0"/>
        <v>1.6154731557207396</v>
      </c>
      <c r="E24" s="106">
        <f t="shared" si="1"/>
        <v>4.4042811084448186</v>
      </c>
      <c r="F24" s="106" t="s">
        <v>2</v>
      </c>
      <c r="G24" s="106">
        <f t="shared" si="2"/>
        <v>1.1553325627101934</v>
      </c>
      <c r="H24" s="106">
        <f t="shared" si="3"/>
        <v>3.5672583360655263</v>
      </c>
      <c r="I24" s="106" t="s">
        <v>2</v>
      </c>
      <c r="J24" s="106">
        <f t="shared" si="4"/>
        <v>0.86455315594235094</v>
      </c>
      <c r="K24" s="107">
        <f t="shared" si="5"/>
        <v>7.2819874338161394</v>
      </c>
      <c r="L24" s="107" t="s">
        <v>2</v>
      </c>
      <c r="M24" s="107">
        <f t="shared" si="6"/>
        <v>0.5377111957781634</v>
      </c>
      <c r="N24" s="107">
        <f t="shared" si="7"/>
        <v>6.9224319292232614</v>
      </c>
      <c r="O24" s="107" t="s">
        <v>2</v>
      </c>
      <c r="P24" s="107">
        <f t="shared" si="8"/>
        <v>1.6051664457290802</v>
      </c>
      <c r="Q24" s="106">
        <f t="shared" si="9"/>
        <v>4.6104895935643597</v>
      </c>
      <c r="R24" s="106" t="s">
        <v>2</v>
      </c>
      <c r="S24" s="106">
        <f t="shared" si="10"/>
        <v>1.1352434265053331</v>
      </c>
      <c r="T24" s="106">
        <f t="shared" si="11"/>
        <v>7.1627298925260874</v>
      </c>
      <c r="U24" s="106" t="s">
        <v>2</v>
      </c>
      <c r="V24" s="106">
        <f t="shared" si="12"/>
        <v>1.1432836373601083</v>
      </c>
      <c r="W24" s="106">
        <f t="shared" si="13"/>
        <v>6.8858799503536128</v>
      </c>
      <c r="X24" s="106" t="s">
        <v>2</v>
      </c>
      <c r="Y24" s="106">
        <f t="shared" si="14"/>
        <v>1.6126314449143275</v>
      </c>
      <c r="Z24" s="11">
        <f t="shared" si="15"/>
        <v>5.1045345348673479</v>
      </c>
      <c r="AA24" s="12" t="s">
        <v>2</v>
      </c>
      <c r="AB24" s="11">
        <f t="shared" si="16"/>
        <v>0.62542258010657159</v>
      </c>
      <c r="AF24" s="90">
        <f t="shared" si="17"/>
        <v>7.7402439876063092</v>
      </c>
      <c r="AG24" s="90" t="s">
        <v>2</v>
      </c>
      <c r="AH24" s="90">
        <f t="shared" si="18"/>
        <v>0.8562386675862943</v>
      </c>
      <c r="AI24" s="90">
        <f t="shared" si="19"/>
        <v>10.397235997102186</v>
      </c>
      <c r="AJ24" s="90" t="s">
        <v>2</v>
      </c>
      <c r="AK24" s="90">
        <f t="shared" si="20"/>
        <v>0.96588722231784241</v>
      </c>
      <c r="AL24" s="90">
        <f t="shared" si="21"/>
        <v>9.0058765055207601</v>
      </c>
      <c r="AM24" s="90" t="s">
        <v>2</v>
      </c>
      <c r="AN24" s="90">
        <f t="shared" si="22"/>
        <v>2.1918883818613315</v>
      </c>
      <c r="AO24" s="90">
        <f t="shared" si="23"/>
        <v>4.3448646710895202</v>
      </c>
      <c r="AP24" s="90" t="s">
        <v>2</v>
      </c>
      <c r="AQ24" s="90">
        <f t="shared" si="24"/>
        <v>1.6528547521767549</v>
      </c>
      <c r="AR24" s="90">
        <f t="shared" si="25"/>
        <v>9.1530093935714447</v>
      </c>
      <c r="AS24" s="90" t="s">
        <v>2</v>
      </c>
      <c r="AT24" s="90">
        <f t="shared" si="26"/>
        <v>1.0927934529092098</v>
      </c>
      <c r="AU24" s="90">
        <f t="shared" si="27"/>
        <v>13.829118193481651</v>
      </c>
      <c r="AV24" s="90" t="s">
        <v>2</v>
      </c>
      <c r="AW24" s="90">
        <f t="shared" si="28"/>
        <v>2.4704683965481511</v>
      </c>
      <c r="AX24" s="97">
        <f t="shared" si="29"/>
        <v>9.6971127652959446</v>
      </c>
      <c r="AY24" s="97" t="s">
        <v>2</v>
      </c>
      <c r="AZ24" s="97">
        <f t="shared" si="30"/>
        <v>1.7442241016953517</v>
      </c>
      <c r="BA24" s="97">
        <f>BA10-BA9</f>
        <v>8.9197227502363354</v>
      </c>
      <c r="BB24" s="97" t="s">
        <v>2</v>
      </c>
      <c r="BC24" s="97">
        <f>SQRT(1/(1/BC9^2+1/BC10^2))</f>
        <v>0.93636192076664371</v>
      </c>
      <c r="BD24" s="97">
        <f t="shared" si="31"/>
        <v>2.998057914964658</v>
      </c>
      <c r="BE24" s="97" t="s">
        <v>2</v>
      </c>
      <c r="BF24" s="97">
        <f t="shared" si="32"/>
        <v>1.5661744611317512</v>
      </c>
      <c r="BG24" s="97">
        <f t="shared" si="33"/>
        <v>7.7255148142797436</v>
      </c>
      <c r="BH24" s="97" t="s">
        <v>2</v>
      </c>
      <c r="BI24" s="97">
        <f t="shared" si="34"/>
        <v>0.96326740799591337</v>
      </c>
      <c r="BJ24" s="97">
        <f t="shared" si="35"/>
        <v>15.389894618076829</v>
      </c>
      <c r="BK24" s="97" t="s">
        <v>2</v>
      </c>
      <c r="BL24" s="97">
        <f t="shared" si="36"/>
        <v>1.2510028347401716</v>
      </c>
      <c r="BM24" s="97">
        <f t="shared" si="37"/>
        <v>13.566018776433264</v>
      </c>
      <c r="BN24" s="97" t="s">
        <v>2</v>
      </c>
      <c r="BO24" s="97">
        <f t="shared" si="38"/>
        <v>1.7729929981155288</v>
      </c>
      <c r="BP24" s="97">
        <f t="shared" si="39"/>
        <v>10.571394911976562</v>
      </c>
      <c r="BQ24" s="97" t="s">
        <v>2</v>
      </c>
      <c r="BR24" s="97">
        <f t="shared" si="40"/>
        <v>1.1416646148633769</v>
      </c>
      <c r="BS24" s="97">
        <f t="shared" si="41"/>
        <v>13.124108470152329</v>
      </c>
      <c r="BT24" s="97" t="s">
        <v>2</v>
      </c>
      <c r="BU24" s="97">
        <f t="shared" si="42"/>
        <v>0.74561305785566312</v>
      </c>
      <c r="BV24" s="97">
        <f t="shared" si="43"/>
        <v>12.294616421516192</v>
      </c>
      <c r="BW24" s="97" t="s">
        <v>2</v>
      </c>
      <c r="BX24" s="97">
        <f t="shared" si="44"/>
        <v>1.7116236616018383</v>
      </c>
      <c r="BY24" s="97">
        <f t="shared" si="67"/>
        <v>9.8744572544112721</v>
      </c>
      <c r="BZ24" s="97" t="s">
        <v>2</v>
      </c>
      <c r="CA24" s="97">
        <f t="shared" si="68"/>
        <v>1.6189816117852858</v>
      </c>
      <c r="CB24" s="97">
        <f t="shared" si="45"/>
        <v>14.238330708002511</v>
      </c>
      <c r="CC24" s="97" t="s">
        <v>2</v>
      </c>
      <c r="CD24" s="97">
        <f t="shared" si="46"/>
        <v>1.2785014583909944</v>
      </c>
      <c r="CE24" s="97">
        <f>CE10-CE9</f>
        <v>12.794766795836132</v>
      </c>
      <c r="CF24" s="97" t="s">
        <v>2</v>
      </c>
      <c r="CG24" s="97">
        <f>SQRT(1/(1/CG9^2+1/CG10^2))</f>
        <v>1.1183645676572038</v>
      </c>
      <c r="CH24" s="97">
        <f t="shared" si="47"/>
        <v>11.004944468906986</v>
      </c>
      <c r="CI24" s="97" t="s">
        <v>2</v>
      </c>
      <c r="CJ24" s="97">
        <f t="shared" si="48"/>
        <v>1.3948513204663968</v>
      </c>
      <c r="CK24" s="97">
        <f t="shared" si="49"/>
        <v>3.7709647793782182</v>
      </c>
      <c r="CL24" s="97" t="s">
        <v>2</v>
      </c>
      <c r="CM24" s="97">
        <f t="shared" si="50"/>
        <v>1.5817944088188391</v>
      </c>
      <c r="CN24" s="1">
        <f t="shared" ref="CN24:CN29" si="69">CN10-CN9</f>
        <v>14.084949439701067</v>
      </c>
      <c r="CO24" s="1" t="s">
        <v>2</v>
      </c>
      <c r="CP24" s="1">
        <f t="shared" ref="CP24:CP29" si="70">SQRT(1/(1/CP9^2+1/CP10^2))</f>
        <v>1.0268228034683125</v>
      </c>
      <c r="CQ24" s="1">
        <f t="shared" si="51"/>
        <v>11.372546677151931</v>
      </c>
      <c r="CR24" s="1" t="s">
        <v>2</v>
      </c>
      <c r="CS24" s="1">
        <f t="shared" si="52"/>
        <v>1.6563447517464918</v>
      </c>
      <c r="CT24" s="1">
        <f t="shared" si="53"/>
        <v>5.7934129883870913</v>
      </c>
      <c r="CU24" s="1" t="s">
        <v>2</v>
      </c>
      <c r="CV24" s="1">
        <f t="shared" si="54"/>
        <v>1.7737795309275068</v>
      </c>
      <c r="CW24" s="1">
        <f t="shared" si="55"/>
        <v>9.2175505286375952</v>
      </c>
      <c r="CX24" s="1" t="s">
        <v>2</v>
      </c>
      <c r="CY24" s="1">
        <f t="shared" si="56"/>
        <v>2.8384565444361125</v>
      </c>
      <c r="CZ24" s="1">
        <f t="shared" si="57"/>
        <v>5.3094647578869614</v>
      </c>
      <c r="DA24" s="1" t="s">
        <v>2</v>
      </c>
      <c r="DB24" s="1">
        <f t="shared" si="58"/>
        <v>1.4084038963008543</v>
      </c>
      <c r="DC24" s="1">
        <f t="shared" si="59"/>
        <v>7.4456493577719201</v>
      </c>
      <c r="DD24" s="1" t="s">
        <v>2</v>
      </c>
      <c r="DE24" s="1">
        <f t="shared" si="60"/>
        <v>1.3676335293875914</v>
      </c>
      <c r="DF24" s="1">
        <f t="shared" si="61"/>
        <v>10.557725293698917</v>
      </c>
      <c r="DG24" s="1" t="s">
        <v>2</v>
      </c>
      <c r="DH24" s="1">
        <f t="shared" si="62"/>
        <v>1.6911495010883684</v>
      </c>
      <c r="DI24" s="1">
        <f t="shared" si="63"/>
        <v>6.9241659549961199</v>
      </c>
      <c r="DJ24" s="1" t="s">
        <v>2</v>
      </c>
      <c r="DK24" s="1">
        <f t="shared" si="64"/>
        <v>0.77542280417683063</v>
      </c>
      <c r="DL24" s="11">
        <f t="shared" si="65"/>
        <v>10.120197564156966</v>
      </c>
      <c r="DM24" s="12" t="s">
        <v>2</v>
      </c>
      <c r="DN24" s="11">
        <f>STDEVA((AU24,CH24,AR24,AO24,CE24,DF24,CZ24,CW24,CT24,CQ24,CN24,CB24,AL24,BY24,BV24,AI24,BS24,BP24,BM24,BJ24,AF24,BG24,BD24,BA24,AX24))/SQRT(COUNTA(AU24,CH24,AR24,AO24,CE24,DF24,CZ24,CW24,CT24,CQ24,CN24,CB24,AL24,BY24,BV24,AI24,BS24,BP24,BM24,BJ24,AF24,BG24,BD24,BA24,AX24))</f>
        <v>0.64784293688361472</v>
      </c>
    </row>
    <row r="25" spans="1:119" x14ac:dyDescent="0.2">
      <c r="A25" t="s">
        <v>59</v>
      </c>
      <c r="B25" s="106">
        <f t="shared" si="66"/>
        <v>0.53736875654963878</v>
      </c>
      <c r="C25" s="106" t="s">
        <v>2</v>
      </c>
      <c r="D25" s="106">
        <f t="shared" si="0"/>
        <v>1.5987367971990858</v>
      </c>
      <c r="E25" s="106">
        <f t="shared" si="1"/>
        <v>2.5878580702559661</v>
      </c>
      <c r="F25" s="106" t="s">
        <v>2</v>
      </c>
      <c r="G25" s="106">
        <f t="shared" si="2"/>
        <v>1.1470642008498646</v>
      </c>
      <c r="H25" s="106">
        <f t="shared" si="3"/>
        <v>-0.81531404520429618</v>
      </c>
      <c r="I25" s="106" t="s">
        <v>2</v>
      </c>
      <c r="J25" s="106">
        <f t="shared" si="4"/>
        <v>0.93417957919174388</v>
      </c>
      <c r="K25" s="107">
        <f t="shared" si="5"/>
        <v>2.0620878915615926</v>
      </c>
      <c r="L25" s="107" t="s">
        <v>2</v>
      </c>
      <c r="M25" s="107">
        <f t="shared" si="6"/>
        <v>0.54519930162457708</v>
      </c>
      <c r="N25" s="107">
        <f t="shared" si="7"/>
        <v>2.6053233992622253</v>
      </c>
      <c r="O25" s="107" t="s">
        <v>2</v>
      </c>
      <c r="P25" s="107">
        <f t="shared" si="8"/>
        <v>1.6143059859988242</v>
      </c>
      <c r="Q25" s="106">
        <f t="shared" si="9"/>
        <v>1.6880368562925963</v>
      </c>
      <c r="R25" s="106" t="s">
        <v>2</v>
      </c>
      <c r="S25" s="106">
        <f t="shared" si="10"/>
        <v>1.1525837797523486</v>
      </c>
      <c r="T25" s="106">
        <f t="shared" si="11"/>
        <v>1.570174389265877</v>
      </c>
      <c r="U25" s="106" t="s">
        <v>2</v>
      </c>
      <c r="V25" s="106">
        <f t="shared" si="12"/>
        <v>1.147557852783228</v>
      </c>
      <c r="W25" s="106">
        <f t="shared" si="13"/>
        <v>-1.7894346360676217</v>
      </c>
      <c r="X25" s="106" t="s">
        <v>2</v>
      </c>
      <c r="Y25" s="106">
        <f t="shared" si="14"/>
        <v>1.6108293877676962</v>
      </c>
      <c r="Z25" s="11">
        <f t="shared" si="15"/>
        <v>0.62978156518202677</v>
      </c>
      <c r="AA25" s="12" t="s">
        <v>2</v>
      </c>
      <c r="AB25" s="11">
        <f t="shared" si="16"/>
        <v>0.67793202715366729</v>
      </c>
      <c r="AF25" s="90">
        <f t="shared" si="17"/>
        <v>4.1100627457930639</v>
      </c>
      <c r="AG25" s="90" t="s">
        <v>2</v>
      </c>
      <c r="AH25" s="90">
        <f t="shared" si="18"/>
        <v>0.85588667637366611</v>
      </c>
      <c r="AI25" s="90">
        <f t="shared" si="19"/>
        <v>4.2854633765100338</v>
      </c>
      <c r="AJ25" s="90" t="s">
        <v>2</v>
      </c>
      <c r="AK25" s="90">
        <f t="shared" si="20"/>
        <v>0.97819420932388967</v>
      </c>
      <c r="AL25" s="90">
        <f t="shared" si="21"/>
        <v>-0.15823930580782797</v>
      </c>
      <c r="AM25" s="90" t="s">
        <v>2</v>
      </c>
      <c r="AN25" s="90">
        <f t="shared" si="22"/>
        <v>2.1314058602311268</v>
      </c>
      <c r="AO25" s="90">
        <f t="shared" si="23"/>
        <v>3.755614963914744</v>
      </c>
      <c r="AP25" s="90" t="s">
        <v>2</v>
      </c>
      <c r="AQ25" s="90">
        <f t="shared" si="24"/>
        <v>1.6546412659819909</v>
      </c>
      <c r="AR25" s="90">
        <f t="shared" si="25"/>
        <v>4.989292163192105</v>
      </c>
      <c r="AS25" s="90" t="s">
        <v>2</v>
      </c>
      <c r="AT25" s="90">
        <f t="shared" si="26"/>
        <v>1.0893123597596639</v>
      </c>
      <c r="AU25" s="90">
        <f t="shared" si="27"/>
        <v>-0.35108185941545855</v>
      </c>
      <c r="AV25" s="90" t="s">
        <v>2</v>
      </c>
      <c r="AW25" s="90">
        <f t="shared" si="28"/>
        <v>2.4934053180579774</v>
      </c>
      <c r="AX25" s="97">
        <f t="shared" si="29"/>
        <v>5.1880629039118276</v>
      </c>
      <c r="AY25" s="97" t="s">
        <v>2</v>
      </c>
      <c r="AZ25" s="97">
        <f t="shared" si="30"/>
        <v>1.7510856438088453</v>
      </c>
      <c r="BA25" s="97">
        <f>BA11-BA10</f>
        <v>1.0481547069499664</v>
      </c>
      <c r="BB25" s="97" t="s">
        <v>2</v>
      </c>
      <c r="BC25" s="97">
        <f>SQRT(1/(1/BC10^2+1/BC11^2))</f>
        <v>0.84022943083245105</v>
      </c>
      <c r="BD25" s="97">
        <f t="shared" si="31"/>
        <v>3.2253530919922335</v>
      </c>
      <c r="BE25" s="97" t="s">
        <v>2</v>
      </c>
      <c r="BF25" s="97">
        <f t="shared" si="32"/>
        <v>1.5756467045672438</v>
      </c>
      <c r="BG25" s="97">
        <f t="shared" si="33"/>
        <v>5.4507508144007177</v>
      </c>
      <c r="BH25" s="97" t="s">
        <v>2</v>
      </c>
      <c r="BI25" s="97">
        <f t="shared" si="34"/>
        <v>0.965395462357439</v>
      </c>
      <c r="BJ25" s="97">
        <f t="shared" si="35"/>
        <v>3.7948926597608512</v>
      </c>
      <c r="BK25" s="97" t="s">
        <v>2</v>
      </c>
      <c r="BL25" s="97">
        <f t="shared" si="36"/>
        <v>1.2635396127268983</v>
      </c>
      <c r="BM25" s="97">
        <f t="shared" si="37"/>
        <v>1.0784438219162418</v>
      </c>
      <c r="BN25" s="97" t="s">
        <v>2</v>
      </c>
      <c r="BO25" s="97">
        <f t="shared" si="38"/>
        <v>1.7543274333164036</v>
      </c>
      <c r="BP25" s="97">
        <f t="shared" si="39"/>
        <v>0.12033753114681911</v>
      </c>
      <c r="BQ25" s="97" t="s">
        <v>2</v>
      </c>
      <c r="BR25" s="97">
        <f t="shared" si="40"/>
        <v>1.3164564319819303</v>
      </c>
      <c r="BS25" s="97">
        <f t="shared" si="41"/>
        <v>1.9106851449111062</v>
      </c>
      <c r="BT25" s="97" t="s">
        <v>2</v>
      </c>
      <c r="BU25" s="97">
        <f t="shared" si="42"/>
        <v>0.7392992268049936</v>
      </c>
      <c r="BV25" s="97">
        <f t="shared" si="43"/>
        <v>6.0267243468739018</v>
      </c>
      <c r="BW25" s="97" t="s">
        <v>2</v>
      </c>
      <c r="BX25" s="97">
        <f t="shared" si="44"/>
        <v>1.698292062112114</v>
      </c>
      <c r="BY25" s="97">
        <f t="shared" si="67"/>
        <v>-3.243689506850278</v>
      </c>
      <c r="BZ25" s="97" t="s">
        <v>2</v>
      </c>
      <c r="CA25" s="97">
        <f t="shared" si="68"/>
        <v>1.6155279004923271</v>
      </c>
      <c r="CB25" s="97">
        <f t="shared" si="45"/>
        <v>-1.1509360723271911</v>
      </c>
      <c r="CC25" s="97" t="s">
        <v>2</v>
      </c>
      <c r="CD25" s="97">
        <f t="shared" si="46"/>
        <v>1.277504461364003</v>
      </c>
      <c r="CE25" s="97">
        <f>CE11-CE10</f>
        <v>-1.2956367894446652</v>
      </c>
      <c r="CF25" s="97" t="s">
        <v>2</v>
      </c>
      <c r="CG25" s="97">
        <f>SQRT(1/(1/CG10^2+1/CG11^2))</f>
        <v>1.2631605545566129</v>
      </c>
      <c r="CH25" s="97">
        <f t="shared" si="47"/>
        <v>3.4059108306316865</v>
      </c>
      <c r="CI25" s="97" t="s">
        <v>2</v>
      </c>
      <c r="CJ25" s="97">
        <f t="shared" si="48"/>
        <v>1.3957549604170596</v>
      </c>
      <c r="CK25" s="97">
        <f t="shared" si="49"/>
        <v>10.18945028759477</v>
      </c>
      <c r="CL25" s="97" t="s">
        <v>2</v>
      </c>
      <c r="CM25" s="97">
        <f t="shared" si="50"/>
        <v>1.5796343558833739</v>
      </c>
      <c r="CN25" s="1">
        <f t="shared" si="69"/>
        <v>-1.7890230763681902</v>
      </c>
      <c r="CO25" s="1" t="s">
        <v>2</v>
      </c>
      <c r="CP25" s="1">
        <f t="shared" si="70"/>
        <v>1.0992455870675246</v>
      </c>
      <c r="CQ25" s="1">
        <f t="shared" si="51"/>
        <v>-1.347286059188435</v>
      </c>
      <c r="CR25" s="1" t="s">
        <v>2</v>
      </c>
      <c r="CS25" s="1">
        <f t="shared" si="52"/>
        <v>1.6533828991872497</v>
      </c>
      <c r="CT25" s="1">
        <f t="shared" si="53"/>
        <v>1.4239311760499973</v>
      </c>
      <c r="CU25" s="1" t="s">
        <v>2</v>
      </c>
      <c r="CV25" s="1">
        <f t="shared" si="54"/>
        <v>1.7552037638034692</v>
      </c>
      <c r="CW25" s="1">
        <f t="shared" si="55"/>
        <v>4.6049516864991036</v>
      </c>
      <c r="CX25" s="1" t="s">
        <v>2</v>
      </c>
      <c r="CY25" s="1">
        <f t="shared" si="56"/>
        <v>2.8732924816447452</v>
      </c>
      <c r="CZ25" s="1">
        <f t="shared" si="57"/>
        <v>3.473872196356198</v>
      </c>
      <c r="DA25" s="1" t="s">
        <v>2</v>
      </c>
      <c r="DB25" s="1">
        <f t="shared" si="58"/>
        <v>1.4084038963008543</v>
      </c>
      <c r="DC25" s="1">
        <f t="shared" si="59"/>
        <v>8.6623685305747813</v>
      </c>
      <c r="DD25" s="1" t="s">
        <v>2</v>
      </c>
      <c r="DE25" s="1">
        <f t="shared" si="60"/>
        <v>1.3625222435007776</v>
      </c>
      <c r="DF25" s="1">
        <f t="shared" si="61"/>
        <v>5.6748646790132362</v>
      </c>
      <c r="DG25" s="1" t="s">
        <v>2</v>
      </c>
      <c r="DH25" s="1">
        <f t="shared" si="62"/>
        <v>1.703867147953452</v>
      </c>
      <c r="DI25" s="1">
        <f t="shared" si="63"/>
        <v>4.3941471966810743</v>
      </c>
      <c r="DJ25" s="1" t="s">
        <v>2</v>
      </c>
      <c r="DK25" s="1">
        <f t="shared" si="64"/>
        <v>0.76609572019464844</v>
      </c>
      <c r="DL25" s="11">
        <f t="shared" si="65"/>
        <v>2.1692590468168715</v>
      </c>
      <c r="DM25" s="12" t="s">
        <v>2</v>
      </c>
      <c r="DN25" s="11">
        <f>STDEVA((AU25,CH25,AR25,AO25,CE25,DF25,CZ25,CW25,CT25,CQ25,CN25,CB25,AL25,BY25,BV25,AI25,BS25,BP25,BM25,BJ25,AF25,BG25,BD25,BA25,AX25))/SQRT(COUNTA(AU25,CH25,AR25,AO25,CE25,DF25,CZ25,CW25,CT25,CQ25,CN25,CB25,AL25,BY25,BV25,AI25,BS25,BP25,BM25,BJ25,AF25,BG25,BD25,BA25,AX25))</f>
        <v>0.54480369217488689</v>
      </c>
    </row>
    <row r="26" spans="1:119" x14ac:dyDescent="0.2">
      <c r="A26" t="s">
        <v>60</v>
      </c>
      <c r="B26" s="106">
        <f t="shared" si="66"/>
        <v>-7.6536523753429897</v>
      </c>
      <c r="C26" s="106" t="s">
        <v>2</v>
      </c>
      <c r="D26" s="106">
        <f t="shared" si="0"/>
        <v>1.5915165733692678</v>
      </c>
      <c r="E26" s="106">
        <f t="shared" si="1"/>
        <v>-2.1337839169983663</v>
      </c>
      <c r="F26" s="106" t="s">
        <v>2</v>
      </c>
      <c r="G26" s="106">
        <f t="shared" si="2"/>
        <v>1.1204038131598277</v>
      </c>
      <c r="H26" s="106">
        <f t="shared" si="3"/>
        <v>0.47570961716747462</v>
      </c>
      <c r="I26" s="106" t="s">
        <v>2</v>
      </c>
      <c r="J26" s="106">
        <f t="shared" si="4"/>
        <v>1.0189134249683811</v>
      </c>
      <c r="K26" s="107">
        <f t="shared" si="5"/>
        <v>-1.6126993032014045</v>
      </c>
      <c r="L26" s="107" t="s">
        <v>2</v>
      </c>
      <c r="M26" s="107">
        <f t="shared" si="6"/>
        <v>0.59161660694212415</v>
      </c>
      <c r="N26" s="107">
        <f t="shared" si="7"/>
        <v>1.9377556978223964</v>
      </c>
      <c r="O26" s="107" t="s">
        <v>2</v>
      </c>
      <c r="P26" s="107">
        <f t="shared" si="8"/>
        <v>1.6264048139841032</v>
      </c>
      <c r="Q26" s="106">
        <f t="shared" si="9"/>
        <v>-2.4420187947453709</v>
      </c>
      <c r="R26" s="106" t="s">
        <v>2</v>
      </c>
      <c r="S26" s="106">
        <f t="shared" si="10"/>
        <v>1.160068036731754</v>
      </c>
      <c r="T26" s="106">
        <f t="shared" si="11"/>
        <v>-2.2394971593856505</v>
      </c>
      <c r="U26" s="106" t="s">
        <v>2</v>
      </c>
      <c r="V26" s="106">
        <f t="shared" si="12"/>
        <v>1.1425214768192231</v>
      </c>
      <c r="W26" s="106">
        <f t="shared" si="13"/>
        <v>1.1380058501544443</v>
      </c>
      <c r="X26" s="106" t="s">
        <v>2</v>
      </c>
      <c r="Y26" s="106">
        <f t="shared" si="14"/>
        <v>1.6368865143053377</v>
      </c>
      <c r="Z26" s="11">
        <f t="shared" si="15"/>
        <v>-2.1425394631917429</v>
      </c>
      <c r="AA26" s="12" t="s">
        <v>2</v>
      </c>
      <c r="AB26" s="11">
        <f t="shared" si="16"/>
        <v>1.2660797322794999</v>
      </c>
      <c r="AF26" s="90">
        <f t="shared" si="17"/>
        <v>-1.4308731075683978</v>
      </c>
      <c r="AG26" s="90" t="s">
        <v>2</v>
      </c>
      <c r="AH26" s="90">
        <f t="shared" si="18"/>
        <v>0.85724197461581952</v>
      </c>
      <c r="AI26" s="90">
        <f t="shared" si="19"/>
        <v>0.38858162531851814</v>
      </c>
      <c r="AJ26" s="90" t="s">
        <v>2</v>
      </c>
      <c r="AK26" s="90">
        <f t="shared" si="20"/>
        <v>0.979775016882934</v>
      </c>
      <c r="AL26" s="90">
        <f t="shared" si="21"/>
        <v>-1.844062771084066</v>
      </c>
      <c r="AM26" s="90" t="s">
        <v>2</v>
      </c>
      <c r="AN26" s="90">
        <f t="shared" si="22"/>
        <v>2.2783956492492989</v>
      </c>
      <c r="AO26" s="90">
        <f t="shared" si="23"/>
        <v>-1.4622170986597904</v>
      </c>
      <c r="AP26" s="90" t="s">
        <v>2</v>
      </c>
      <c r="AQ26" s="90">
        <f t="shared" si="24"/>
        <v>1.6598272452410714</v>
      </c>
      <c r="AR26" s="90">
        <f t="shared" si="25"/>
        <v>-3.4127171673716816</v>
      </c>
      <c r="AS26" s="90" t="s">
        <v>2</v>
      </c>
      <c r="AT26" s="90">
        <f t="shared" si="26"/>
        <v>1.0839172324553785</v>
      </c>
      <c r="AU26" s="90">
        <f t="shared" si="27"/>
        <v>0.34045802426563299</v>
      </c>
      <c r="AV26" s="90" t="s">
        <v>2</v>
      </c>
      <c r="AW26" s="90">
        <f t="shared" si="28"/>
        <v>2.4931074636807296</v>
      </c>
      <c r="AX26" s="97">
        <f t="shared" si="29"/>
        <v>-3.5432159247916761</v>
      </c>
      <c r="AY26" s="97" t="s">
        <v>2</v>
      </c>
      <c r="AZ26" s="97">
        <f t="shared" si="30"/>
        <v>1.7584395051320414</v>
      </c>
      <c r="BA26" s="97">
        <f>BA12-BA11</f>
        <v>-0.75947069127146882</v>
      </c>
      <c r="BB26" s="97" t="s">
        <v>2</v>
      </c>
      <c r="BC26" s="97">
        <f>SQRT(1/(1/BC11^2+1/BC12^2))</f>
        <v>1.0247191615589217</v>
      </c>
      <c r="BD26" s="97">
        <f t="shared" si="31"/>
        <v>5.0543454252334197</v>
      </c>
      <c r="BE26" s="97" t="s">
        <v>2</v>
      </c>
      <c r="BF26" s="97">
        <f t="shared" si="32"/>
        <v>1.579537497747876</v>
      </c>
      <c r="BG26" s="97">
        <f t="shared" si="33"/>
        <v>-3.7408486137109342</v>
      </c>
      <c r="BH26" s="97" t="s">
        <v>2</v>
      </c>
      <c r="BI26" s="97">
        <f t="shared" si="34"/>
        <v>1.0605531733095228</v>
      </c>
      <c r="BJ26" s="97">
        <f t="shared" si="35"/>
        <v>2.1068527849834595</v>
      </c>
      <c r="BK26" s="97" t="s">
        <v>2</v>
      </c>
      <c r="BL26" s="97">
        <f t="shared" si="36"/>
        <v>1.2880907365034036</v>
      </c>
      <c r="BM26" s="97">
        <f t="shared" si="37"/>
        <v>-1.3341652496996481</v>
      </c>
      <c r="BN26" s="97" t="s">
        <v>2</v>
      </c>
      <c r="BO26" s="97">
        <f t="shared" si="38"/>
        <v>1.7504982218433187</v>
      </c>
      <c r="BP26" s="97">
        <f t="shared" si="39"/>
        <v>2.3043593950463626</v>
      </c>
      <c r="BQ26" s="97" t="s">
        <v>2</v>
      </c>
      <c r="BR26" s="97">
        <f t="shared" si="40"/>
        <v>1.618841692038189</v>
      </c>
      <c r="BS26" s="97">
        <f t="shared" si="41"/>
        <v>6.7700080326638101E-2</v>
      </c>
      <c r="BT26" s="97" t="s">
        <v>2</v>
      </c>
      <c r="BU26" s="97">
        <f t="shared" si="42"/>
        <v>0.81001030753363046</v>
      </c>
      <c r="BV26" s="97">
        <f t="shared" si="43"/>
        <v>-1.8572246394008562</v>
      </c>
      <c r="BW26" s="97" t="s">
        <v>2</v>
      </c>
      <c r="BX26" s="97">
        <f t="shared" si="44"/>
        <v>1.6984708302855629</v>
      </c>
      <c r="BY26" s="97">
        <f t="shared" si="67"/>
        <v>3.4123452191855419</v>
      </c>
      <c r="BZ26" s="97" t="s">
        <v>2</v>
      </c>
      <c r="CA26" s="97">
        <f t="shared" si="68"/>
        <v>1.5908280487791533</v>
      </c>
      <c r="CB26" s="97">
        <f t="shared" si="45"/>
        <v>-0.62970928230732248</v>
      </c>
      <c r="CC26" s="97" t="s">
        <v>2</v>
      </c>
      <c r="CD26" s="97">
        <f t="shared" si="46"/>
        <v>1.2821908515557827</v>
      </c>
      <c r="CE26" s="97"/>
      <c r="CF26" s="97"/>
      <c r="CG26" s="97"/>
      <c r="CH26" s="97">
        <f t="shared" si="47"/>
        <v>-0.19346015413213014</v>
      </c>
      <c r="CI26" s="97" t="s">
        <v>2</v>
      </c>
      <c r="CJ26" s="97">
        <f t="shared" si="48"/>
        <v>1.3889221580941038</v>
      </c>
      <c r="CK26" s="97">
        <f t="shared" si="49"/>
        <v>3.7457390930444312</v>
      </c>
      <c r="CL26" s="97" t="s">
        <v>2</v>
      </c>
      <c r="CM26" s="97">
        <f t="shared" si="50"/>
        <v>1.5819158050448614</v>
      </c>
      <c r="CN26" s="1">
        <f t="shared" si="69"/>
        <v>-2.6742425738670583</v>
      </c>
      <c r="CO26" s="1" t="s">
        <v>2</v>
      </c>
      <c r="CP26" s="1">
        <f t="shared" si="70"/>
        <v>1.422780565274518</v>
      </c>
      <c r="CQ26" s="1">
        <f t="shared" si="51"/>
        <v>-2.1275077583848834</v>
      </c>
      <c r="CR26" s="1" t="s">
        <v>2</v>
      </c>
      <c r="CS26" s="1">
        <f t="shared" si="52"/>
        <v>1.6489730329049468</v>
      </c>
      <c r="CT26" s="1">
        <f t="shared" si="53"/>
        <v>2.3260519796388657</v>
      </c>
      <c r="CU26" s="1" t="s">
        <v>2</v>
      </c>
      <c r="CV26" s="1">
        <f t="shared" si="54"/>
        <v>1.7493792408278548</v>
      </c>
      <c r="CW26" s="1">
        <f t="shared" si="55"/>
        <v>-0.58219841700224428</v>
      </c>
      <c r="CX26" s="1" t="s">
        <v>2</v>
      </c>
      <c r="CY26" s="1">
        <f t="shared" si="56"/>
        <v>2.4799524052895099</v>
      </c>
      <c r="CZ26" s="1">
        <f t="shared" si="57"/>
        <v>-0.24477147468127125</v>
      </c>
      <c r="DA26" s="1" t="s">
        <v>2</v>
      </c>
      <c r="DB26" s="1">
        <f t="shared" si="58"/>
        <v>1.4084038963008543</v>
      </c>
      <c r="DC26" s="1">
        <f t="shared" si="59"/>
        <v>3.4554073605091995</v>
      </c>
      <c r="DD26" s="1" t="s">
        <v>2</v>
      </c>
      <c r="DE26" s="1">
        <f t="shared" si="60"/>
        <v>1.3562582764035278</v>
      </c>
      <c r="DF26" s="1">
        <f t="shared" si="61"/>
        <v>-2.8094742095033931</v>
      </c>
      <c r="DG26" s="1" t="s">
        <v>2</v>
      </c>
      <c r="DH26" s="1">
        <f t="shared" si="62"/>
        <v>1.7075550692204007</v>
      </c>
      <c r="DI26" s="1">
        <f t="shared" si="63"/>
        <v>0.18141597792475928</v>
      </c>
      <c r="DJ26" s="1" t="s">
        <v>2</v>
      </c>
      <c r="DK26" s="1">
        <f t="shared" si="64"/>
        <v>0.77332184973466989</v>
      </c>
      <c r="DL26" s="11">
        <f t="shared" si="65"/>
        <v>-0.5268943583099327</v>
      </c>
      <c r="DM26" s="12" t="s">
        <v>2</v>
      </c>
      <c r="DN26" s="11">
        <f>STDEVA((AU26,CH26,AR26,AO26,CE26,DF26,CZ26,CW26,CT26,CQ26,CN26,CB26,AL26,BY26,BV26,AI26,BS26,BP26,BM26,BJ26,AF26,BG26,BD26,BA26,AX26))/SQRT(COUNTA(AU26,CH26,AR26,AO26,CE26,DF26,CZ26,CW26,CT26,CQ26,CN26,CB26,AL26,BY26,BV26,AI26,BS26,BP26,BM26,BJ26,AF26,BG26,BD26,BA26,AX26))</f>
        <v>0.4622517267138434</v>
      </c>
    </row>
    <row r="27" spans="1:119" x14ac:dyDescent="0.2">
      <c r="A27" t="s">
        <v>61</v>
      </c>
      <c r="B27" s="106">
        <f t="shared" si="66"/>
        <v>3.3454479813413975</v>
      </c>
      <c r="C27" s="106" t="s">
        <v>2</v>
      </c>
      <c r="D27" s="106">
        <f t="shared" si="0"/>
        <v>1.5966834118191942</v>
      </c>
      <c r="E27" s="106">
        <f t="shared" si="1"/>
        <v>0.76407650975729435</v>
      </c>
      <c r="F27" s="106" t="s">
        <v>2</v>
      </c>
      <c r="G27" s="106">
        <f t="shared" si="2"/>
        <v>1.2759124097962649</v>
      </c>
      <c r="H27" s="106">
        <f t="shared" si="3"/>
        <v>-3.208756358269115</v>
      </c>
      <c r="I27" s="106" t="s">
        <v>2</v>
      </c>
      <c r="J27" s="106">
        <f t="shared" si="4"/>
        <v>1.0182885673942159</v>
      </c>
      <c r="K27" s="107">
        <f t="shared" si="5"/>
        <v>-1.532544178624029</v>
      </c>
      <c r="L27" s="107" t="s">
        <v>2</v>
      </c>
      <c r="M27" s="107">
        <f t="shared" si="6"/>
        <v>0.61970963530836498</v>
      </c>
      <c r="N27" s="107">
        <f t="shared" si="7"/>
        <v>-3.4832289438877488</v>
      </c>
      <c r="O27" s="107" t="s">
        <v>2</v>
      </c>
      <c r="P27" s="107">
        <f t="shared" si="8"/>
        <v>1.6293729943508442</v>
      </c>
      <c r="Q27" s="106">
        <f t="shared" si="9"/>
        <v>1.630030086876566</v>
      </c>
      <c r="R27" s="106" t="s">
        <v>2</v>
      </c>
      <c r="S27" s="106">
        <f t="shared" si="10"/>
        <v>1.1361416500041637</v>
      </c>
      <c r="T27" s="106">
        <f t="shared" si="11"/>
        <v>-2.1180270063200233</v>
      </c>
      <c r="U27" s="106" t="s">
        <v>2</v>
      </c>
      <c r="V27" s="106">
        <f t="shared" si="12"/>
        <v>1.136065650219878</v>
      </c>
      <c r="W27" s="106">
        <f t="shared" si="13"/>
        <v>-2.5783551681157766</v>
      </c>
      <c r="X27" s="106" t="s">
        <v>2</v>
      </c>
      <c r="Y27" s="106">
        <f t="shared" si="14"/>
        <v>1.636990825117268</v>
      </c>
      <c r="Z27" s="11">
        <f t="shared" si="15"/>
        <v>-0.36093065912160949</v>
      </c>
      <c r="AA27" s="12" t="s">
        <v>2</v>
      </c>
      <c r="AB27" s="11">
        <f t="shared" si="16"/>
        <v>1.0813768798429462</v>
      </c>
      <c r="AF27" s="90">
        <f t="shared" si="17"/>
        <v>0.17222198708288783</v>
      </c>
      <c r="AG27" s="90" t="s">
        <v>2</v>
      </c>
      <c r="AH27" s="90">
        <f t="shared" si="18"/>
        <v>0.98066616358771508</v>
      </c>
      <c r="AI27" s="90">
        <f t="shared" si="19"/>
        <v>-1.2608120352746166</v>
      </c>
      <c r="AJ27" s="90" t="s">
        <v>2</v>
      </c>
      <c r="AK27" s="90">
        <f t="shared" si="20"/>
        <v>0.97452271923654177</v>
      </c>
      <c r="AL27" s="90">
        <f t="shared" si="21"/>
        <v>1.7692245398835968</v>
      </c>
      <c r="AM27" s="90" t="s">
        <v>2</v>
      </c>
      <c r="AN27" s="90">
        <f t="shared" si="22"/>
        <v>2.3161731052391681</v>
      </c>
      <c r="AO27" s="90">
        <f t="shared" si="23"/>
        <v>-2.9147539973682912</v>
      </c>
      <c r="AP27" s="90" t="s">
        <v>2</v>
      </c>
      <c r="AQ27" s="90">
        <f t="shared" si="24"/>
        <v>1.6499796114870513</v>
      </c>
      <c r="AR27" s="90">
        <f t="shared" si="25"/>
        <v>-2.9823289588760682</v>
      </c>
      <c r="AS27" s="90" t="s">
        <v>2</v>
      </c>
      <c r="AT27" s="90">
        <f t="shared" si="26"/>
        <v>1.0962905643308647</v>
      </c>
      <c r="AU27" s="90">
        <f t="shared" si="27"/>
        <v>-4.6145711895715369</v>
      </c>
      <c r="AV27" s="90" t="s">
        <v>2</v>
      </c>
      <c r="AW27" s="90">
        <f t="shared" si="28"/>
        <v>2.2264689324994653</v>
      </c>
      <c r="AX27" s="97">
        <f t="shared" si="29"/>
        <v>-0.67232908585646012</v>
      </c>
      <c r="AY27" s="97" t="s">
        <v>2</v>
      </c>
      <c r="AZ27" s="97">
        <f t="shared" si="30"/>
        <v>1.7624554276711109</v>
      </c>
      <c r="BA27" s="97"/>
      <c r="BB27" s="97"/>
      <c r="BC27" s="97"/>
      <c r="BD27" s="97">
        <f t="shared" si="31"/>
        <v>-2.5109557462970056</v>
      </c>
      <c r="BE27" s="97" t="s">
        <v>2</v>
      </c>
      <c r="BF27" s="97">
        <f t="shared" si="32"/>
        <v>1.5765031856791802</v>
      </c>
      <c r="BG27" s="97">
        <f t="shared" si="33"/>
        <v>-1.8685322470174404</v>
      </c>
      <c r="BH27" s="97" t="s">
        <v>2</v>
      </c>
      <c r="BI27" s="97">
        <f t="shared" si="34"/>
        <v>1.2832348409329533</v>
      </c>
      <c r="BJ27" s="97">
        <f t="shared" si="35"/>
        <v>-6.6703031114861977</v>
      </c>
      <c r="BK27" s="97" t="s">
        <v>2</v>
      </c>
      <c r="BL27" s="97">
        <f t="shared" si="36"/>
        <v>1.2541862478107364</v>
      </c>
      <c r="BM27" s="97">
        <f t="shared" si="37"/>
        <v>-3.3588075102209958</v>
      </c>
      <c r="BN27" s="97" t="s">
        <v>2</v>
      </c>
      <c r="BO27" s="97">
        <f t="shared" si="38"/>
        <v>1.7553441531992655</v>
      </c>
      <c r="BP27" s="97">
        <f t="shared" si="39"/>
        <v>-4.302823096824282</v>
      </c>
      <c r="BQ27" s="97" t="s">
        <v>2</v>
      </c>
      <c r="BR27" s="97">
        <f t="shared" si="40"/>
        <v>1.6301524844450479</v>
      </c>
      <c r="BS27" s="97"/>
      <c r="BT27" s="97"/>
      <c r="BU27" s="97"/>
      <c r="BV27" s="97">
        <f t="shared" si="43"/>
        <v>-2.8803791285632041</v>
      </c>
      <c r="BW27" s="97" t="s">
        <v>2</v>
      </c>
      <c r="BX27" s="97">
        <f t="shared" si="44"/>
        <v>1.7012743159299111</v>
      </c>
      <c r="BY27" s="97">
        <f t="shared" si="67"/>
        <v>-1.1163494526914564</v>
      </c>
      <c r="BZ27" s="97" t="s">
        <v>2</v>
      </c>
      <c r="CA27" s="97">
        <f t="shared" si="68"/>
        <v>1.5790682414978343</v>
      </c>
      <c r="CB27" s="97">
        <f t="shared" si="45"/>
        <v>-2.8825672133225844</v>
      </c>
      <c r="CC27" s="97" t="s">
        <v>2</v>
      </c>
      <c r="CD27" s="97">
        <f t="shared" si="46"/>
        <v>1.2837750888037676</v>
      </c>
      <c r="CE27" s="97"/>
      <c r="CF27" s="97"/>
      <c r="CG27" s="97"/>
      <c r="CH27" s="97">
        <f t="shared" si="47"/>
        <v>-2.0417554944690552</v>
      </c>
      <c r="CI27" s="97" t="s">
        <v>2</v>
      </c>
      <c r="CJ27" s="97">
        <f t="shared" si="48"/>
        <v>1.3950146710735032</v>
      </c>
      <c r="CK27" s="97">
        <f t="shared" si="49"/>
        <v>2.5901818689910705</v>
      </c>
      <c r="CL27" s="97" t="s">
        <v>2</v>
      </c>
      <c r="CM27" s="97">
        <f t="shared" si="50"/>
        <v>1.583375797047611</v>
      </c>
      <c r="CN27" s="1">
        <f t="shared" si="69"/>
        <v>1.0024890353790283</v>
      </c>
      <c r="CO27" s="1" t="s">
        <v>2</v>
      </c>
      <c r="CP27" s="1">
        <f t="shared" si="70"/>
        <v>1.3220230543010298</v>
      </c>
      <c r="CQ27" s="1">
        <f t="shared" si="51"/>
        <v>2.2604398913046442</v>
      </c>
      <c r="CR27" s="1" t="s">
        <v>2</v>
      </c>
      <c r="CS27" s="1">
        <f t="shared" si="52"/>
        <v>1.6443092512699775</v>
      </c>
      <c r="CT27" s="1">
        <f t="shared" si="53"/>
        <v>-2.665317413201751</v>
      </c>
      <c r="CU27" s="1" t="s">
        <v>2</v>
      </c>
      <c r="CV27" s="1">
        <f t="shared" si="54"/>
        <v>1.7565856248041758</v>
      </c>
      <c r="CW27" s="1">
        <f t="shared" si="55"/>
        <v>-1.1582271545775846</v>
      </c>
      <c r="CX27" s="1" t="s">
        <v>2</v>
      </c>
      <c r="CY27" s="1">
        <f t="shared" si="56"/>
        <v>2.5553567691486578</v>
      </c>
      <c r="CZ27" s="1">
        <f t="shared" si="57"/>
        <v>-3.5897054398150718</v>
      </c>
      <c r="DA27" s="1" t="s">
        <v>2</v>
      </c>
      <c r="DB27" s="1">
        <f t="shared" si="58"/>
        <v>1.4084038963008543</v>
      </c>
      <c r="DC27" s="1">
        <f t="shared" si="59"/>
        <v>-2.1094013492887198</v>
      </c>
      <c r="DD27" s="1" t="s">
        <v>2</v>
      </c>
      <c r="DE27" s="1">
        <f t="shared" si="60"/>
        <v>1.3630865860145136</v>
      </c>
      <c r="DF27" s="1">
        <f t="shared" si="61"/>
        <v>-0.98904531924459693</v>
      </c>
      <c r="DG27" s="1" t="s">
        <v>2</v>
      </c>
      <c r="DH27" s="1">
        <f t="shared" si="62"/>
        <v>1.7023872233638047</v>
      </c>
      <c r="DI27" s="1">
        <f t="shared" si="63"/>
        <v>2.9902775985070074</v>
      </c>
      <c r="DJ27" s="1" t="s">
        <v>2</v>
      </c>
      <c r="DK27" s="1">
        <f t="shared" si="64"/>
        <v>0.77107698600240904</v>
      </c>
      <c r="DL27" s="11">
        <f t="shared" si="65"/>
        <v>-1.9670540064103657</v>
      </c>
      <c r="DM27" s="12" t="s">
        <v>2</v>
      </c>
      <c r="DN27" s="11">
        <f>STDEVA((AU27,CH27,AR27,AO27,CE27,DF27,CZ27,CW27,CT27,CQ27,CN27,CB27,AL27,BY27,BV27,AI27,BS27,BP27,BM27,BJ27,AF27,BG27,BD27,BA27,AX27))/SQRT(COUNTA(AU27,CH27,AR27,AO27,CE27,DF27,CZ27,CW27,CT27,CQ27,CN27,CB27,AL27,BY27,BV27,AI27,BS27,BP27,BM27,BJ27,AF27,BG27,BD27,BA27,AX27))</f>
        <v>0.44936531888420095</v>
      </c>
    </row>
    <row r="28" spans="1:119" x14ac:dyDescent="0.2">
      <c r="A28" t="s">
        <v>62</v>
      </c>
      <c r="B28" s="106">
        <f t="shared" si="66"/>
        <v>-0.1118534858127731</v>
      </c>
      <c r="C28" s="106" t="s">
        <v>2</v>
      </c>
      <c r="D28" s="106">
        <f t="shared" si="0"/>
        <v>1.6139671613478408</v>
      </c>
      <c r="E28" s="106">
        <f t="shared" si="1"/>
        <v>-5.5907448227666681</v>
      </c>
      <c r="F28" s="106" t="s">
        <v>2</v>
      </c>
      <c r="G28" s="106">
        <f t="shared" si="2"/>
        <v>1.641795091061969</v>
      </c>
      <c r="H28" s="106">
        <f t="shared" si="3"/>
        <v>1.7209161841890133</v>
      </c>
      <c r="I28" s="106" t="s">
        <v>2</v>
      </c>
      <c r="J28" s="106">
        <f t="shared" si="4"/>
        <v>1.0223263168581829</v>
      </c>
      <c r="K28" s="107">
        <f t="shared" si="5"/>
        <v>-0.17587212689385012</v>
      </c>
      <c r="L28" s="107" t="s">
        <v>2</v>
      </c>
      <c r="M28" s="107">
        <f t="shared" si="6"/>
        <v>0.59458024586239366</v>
      </c>
      <c r="N28" s="107">
        <f t="shared" si="7"/>
        <v>-0.18127536257506272</v>
      </c>
      <c r="O28" s="107" t="s">
        <v>2</v>
      </c>
      <c r="P28" s="107">
        <f t="shared" si="8"/>
        <v>1.6301846035613332</v>
      </c>
      <c r="Q28" s="106">
        <f t="shared" si="9"/>
        <v>-3.2113643171806103</v>
      </c>
      <c r="R28" s="106" t="s">
        <v>2</v>
      </c>
      <c r="S28" s="106">
        <f t="shared" si="10"/>
        <v>1.1301411397317458</v>
      </c>
      <c r="T28" s="106">
        <f t="shared" si="11"/>
        <v>1.1178861909721967</v>
      </c>
      <c r="U28" s="106" t="s">
        <v>2</v>
      </c>
      <c r="V28" s="106">
        <f t="shared" si="12"/>
        <v>1.1442818602280791</v>
      </c>
      <c r="W28" s="106">
        <f t="shared" si="13"/>
        <v>-0.10274830055012529</v>
      </c>
      <c r="X28" s="106" t="s">
        <v>2</v>
      </c>
      <c r="Y28" s="106">
        <f t="shared" si="14"/>
        <v>1.6203775768908895</v>
      </c>
      <c r="Z28" s="11">
        <f t="shared" si="15"/>
        <v>-1.0296514251914946</v>
      </c>
      <c r="AA28" s="12" t="s">
        <v>2</v>
      </c>
      <c r="AB28" s="11">
        <f t="shared" si="16"/>
        <v>1.1466252885618204</v>
      </c>
      <c r="AF28" s="90">
        <f t="shared" si="17"/>
        <v>-1.784613290067627</v>
      </c>
      <c r="AG28" s="90" t="s">
        <v>2</v>
      </c>
      <c r="AH28" s="90">
        <f t="shared" si="18"/>
        <v>1.0740961062368481</v>
      </c>
      <c r="AI28" s="90">
        <f t="shared" si="19"/>
        <v>-2.2807496084862322</v>
      </c>
      <c r="AJ28" s="90" t="s">
        <v>2</v>
      </c>
      <c r="AK28" s="90">
        <f t="shared" si="20"/>
        <v>0.97414541723986636</v>
      </c>
      <c r="AL28" s="90">
        <f t="shared" si="21"/>
        <v>0.81486183486501051</v>
      </c>
      <c r="AM28" s="90" t="s">
        <v>2</v>
      </c>
      <c r="AN28" s="90">
        <f t="shared" si="22"/>
        <v>2.1731475339258353</v>
      </c>
      <c r="AO28" s="90">
        <f t="shared" si="23"/>
        <v>1.6140377893493207</v>
      </c>
      <c r="AP28" s="90" t="s">
        <v>2</v>
      </c>
      <c r="AQ28" s="90">
        <f t="shared" si="24"/>
        <v>1.6462109607885824</v>
      </c>
      <c r="AR28" s="90">
        <f t="shared" si="25"/>
        <v>2.94731479796706</v>
      </c>
      <c r="AS28" s="90" t="s">
        <v>2</v>
      </c>
      <c r="AT28" s="90">
        <f t="shared" si="26"/>
        <v>1.2473970688804994</v>
      </c>
      <c r="AU28" s="90">
        <f t="shared" si="27"/>
        <v>-1.0417410512818526</v>
      </c>
      <c r="AV28" s="90" t="s">
        <v>2</v>
      </c>
      <c r="AW28" s="90">
        <f t="shared" si="28"/>
        <v>2.0118082918229838</v>
      </c>
      <c r="AX28" s="97"/>
      <c r="AY28" s="97"/>
      <c r="AZ28" s="97"/>
      <c r="BA28" s="97"/>
      <c r="BB28" s="97"/>
      <c r="BC28" s="97"/>
      <c r="BD28" s="97">
        <f t="shared" si="31"/>
        <v>-0.2465626150224276</v>
      </c>
      <c r="BE28" s="97" t="s">
        <v>2</v>
      </c>
      <c r="BF28" s="97">
        <f t="shared" si="32"/>
        <v>1.5725044607955976</v>
      </c>
      <c r="BG28" s="97">
        <f t="shared" si="33"/>
        <v>-0.12300819886645886</v>
      </c>
      <c r="BH28" s="97" t="s">
        <v>2</v>
      </c>
      <c r="BI28" s="97">
        <f t="shared" si="34"/>
        <v>1.2902394593461077</v>
      </c>
      <c r="BJ28" s="97">
        <f t="shared" si="35"/>
        <v>0.60937413892347969</v>
      </c>
      <c r="BK28" s="97" t="s">
        <v>2</v>
      </c>
      <c r="BL28" s="97">
        <f t="shared" si="36"/>
        <v>1.2376235801856479</v>
      </c>
      <c r="BM28" s="97">
        <f t="shared" si="37"/>
        <v>0.47394680231938047</v>
      </c>
      <c r="BN28" s="97" t="s">
        <v>2</v>
      </c>
      <c r="BO28" s="97">
        <f t="shared" si="38"/>
        <v>1.7375039263663146</v>
      </c>
      <c r="BP28" s="97">
        <f t="shared" si="39"/>
        <v>1.2820850921527738</v>
      </c>
      <c r="BQ28" s="97" t="s">
        <v>2</v>
      </c>
      <c r="BR28" s="97">
        <f t="shared" si="40"/>
        <v>1.6272842079251801</v>
      </c>
      <c r="BS28" s="97"/>
      <c r="BT28" s="97"/>
      <c r="BU28" s="97"/>
      <c r="BV28" s="97">
        <f t="shared" si="43"/>
        <v>-3.7996326751674747</v>
      </c>
      <c r="BW28" s="97" t="s">
        <v>2</v>
      </c>
      <c r="BX28" s="97">
        <f t="shared" si="44"/>
        <v>1.7091852925527642</v>
      </c>
      <c r="BY28" s="97">
        <f t="shared" si="67"/>
        <v>-2.2284086897238486</v>
      </c>
      <c r="BZ28" s="97" t="s">
        <v>2</v>
      </c>
      <c r="CA28" s="97">
        <f t="shared" si="68"/>
        <v>1.5935544917026847</v>
      </c>
      <c r="CB28" s="97">
        <f t="shared" si="45"/>
        <v>-1.9348590220232831</v>
      </c>
      <c r="CC28" s="97" t="s">
        <v>2</v>
      </c>
      <c r="CD28" s="97">
        <f t="shared" si="46"/>
        <v>1.2849507305049233</v>
      </c>
      <c r="CE28" s="97"/>
      <c r="CF28" s="97"/>
      <c r="CG28" s="97"/>
      <c r="CH28" s="97">
        <f t="shared" si="47"/>
        <v>-1.7858104597445745</v>
      </c>
      <c r="CI28" s="97" t="s">
        <v>2</v>
      </c>
      <c r="CJ28" s="97">
        <f t="shared" si="48"/>
        <v>1.3984698148429879</v>
      </c>
      <c r="CK28" s="97">
        <f t="shared" si="49"/>
        <v>-2.8019602356068596</v>
      </c>
      <c r="CL28" s="97" t="s">
        <v>2</v>
      </c>
      <c r="CM28" s="97">
        <f t="shared" si="50"/>
        <v>1.5855513115982125</v>
      </c>
      <c r="CN28" s="1">
        <f t="shared" si="69"/>
        <v>-2.1031472078284486</v>
      </c>
      <c r="CO28" s="1" t="s">
        <v>2</v>
      </c>
      <c r="CP28" s="1">
        <f t="shared" si="70"/>
        <v>1.0515657646413357</v>
      </c>
      <c r="CQ28" s="1">
        <f t="shared" si="51"/>
        <v>-3.5856618518262939</v>
      </c>
      <c r="CR28" s="1" t="s">
        <v>2</v>
      </c>
      <c r="CS28" s="1">
        <f t="shared" si="52"/>
        <v>1.6539280397076643</v>
      </c>
      <c r="CT28" s="1">
        <f t="shared" si="53"/>
        <v>-3.2948488527988484</v>
      </c>
      <c r="CU28" s="1" t="s">
        <v>2</v>
      </c>
      <c r="CV28" s="1">
        <f t="shared" si="54"/>
        <v>1.7593774415154178</v>
      </c>
      <c r="CW28" s="1">
        <f t="shared" si="55"/>
        <v>-0.4666593481892356</v>
      </c>
      <c r="CX28" s="1" t="s">
        <v>2</v>
      </c>
      <c r="CY28" s="1">
        <f t="shared" si="56"/>
        <v>2.602906938925293</v>
      </c>
      <c r="CZ28" s="1">
        <f t="shared" si="57"/>
        <v>0.25089365354180604</v>
      </c>
      <c r="DA28" s="1" t="s">
        <v>2</v>
      </c>
      <c r="DB28" s="1">
        <f t="shared" si="58"/>
        <v>1.4084038963008543</v>
      </c>
      <c r="DC28" s="1">
        <f t="shared" si="59"/>
        <v>0.45104273933771477</v>
      </c>
      <c r="DD28" s="1" t="s">
        <v>2</v>
      </c>
      <c r="DE28" s="1">
        <f t="shared" si="60"/>
        <v>1.3704845632191844</v>
      </c>
      <c r="DF28" s="1">
        <f t="shared" si="61"/>
        <v>1.9870246150727189</v>
      </c>
      <c r="DG28" s="1" t="s">
        <v>2</v>
      </c>
      <c r="DH28" s="1">
        <f t="shared" si="62"/>
        <v>1.7412645421601278</v>
      </c>
      <c r="DI28" s="1">
        <f t="shared" si="63"/>
        <v>-1.8701602912856163</v>
      </c>
      <c r="DJ28" s="1" t="s">
        <v>2</v>
      </c>
      <c r="DK28" s="1">
        <f t="shared" si="64"/>
        <v>0.76387497481833244</v>
      </c>
      <c r="DL28" s="11">
        <f t="shared" si="65"/>
        <v>-0.69981734032547882</v>
      </c>
      <c r="DM28" s="12" t="s">
        <v>2</v>
      </c>
      <c r="DN28" s="11">
        <f>STDEVA((AU28,CH28,AR28,AO28,CE28,DF28,CZ28,CW28,CT28,CQ28,CN28,CB28,AL28,BY28,BV28,AI28,BS28,BP28,BM28,BJ28,AF28,BG28,BD28,BA28,AX28))/SQRT(COUNTA(AU28,CH28,AR28,AO28,CE28,DF28,CZ28,CW28,CT28,CQ28,CN28,CB28,AL28,BY28,BV28,AI28,BS28,BP28,BM28,BJ28,AF28,BG28,BD28,BA28,AX28))</f>
        <v>0.41449824507349148</v>
      </c>
    </row>
    <row r="29" spans="1:119" x14ac:dyDescent="0.2">
      <c r="A29" t="s">
        <v>63</v>
      </c>
      <c r="B29" s="106">
        <f t="shared" si="66"/>
        <v>-1.5096324862026158</v>
      </c>
      <c r="C29" s="106" t="s">
        <v>2</v>
      </c>
      <c r="D29" s="106">
        <f t="shared" si="0"/>
        <v>1.6327392693415785</v>
      </c>
      <c r="E29" s="106">
        <f t="shared" si="1"/>
        <v>-1.0231650922963862</v>
      </c>
      <c r="F29" s="106" t="s">
        <v>2</v>
      </c>
      <c r="G29" s="106">
        <f t="shared" si="2"/>
        <v>1.6644043827207369</v>
      </c>
      <c r="H29" s="106">
        <f t="shared" si="3"/>
        <v>1.6553038599722569</v>
      </c>
      <c r="I29" s="106" t="s">
        <v>2</v>
      </c>
      <c r="J29" s="106">
        <f t="shared" si="4"/>
        <v>1.0209590840448131</v>
      </c>
      <c r="K29" s="107">
        <f t="shared" si="5"/>
        <v>-1.471731318045677</v>
      </c>
      <c r="L29" s="107" t="s">
        <v>2</v>
      </c>
      <c r="M29" s="107">
        <f t="shared" si="6"/>
        <v>0.56451236167819097</v>
      </c>
      <c r="N29" s="107">
        <f t="shared" si="7"/>
        <v>-0.20987576998521185</v>
      </c>
      <c r="O29" s="107" t="s">
        <v>2</v>
      </c>
      <c r="P29" s="107">
        <f t="shared" si="8"/>
        <v>1.611254301764744</v>
      </c>
      <c r="Q29" s="106">
        <f t="shared" si="9"/>
        <v>-1.014715097345853</v>
      </c>
      <c r="R29" s="106" t="s">
        <v>2</v>
      </c>
      <c r="S29" s="106">
        <f t="shared" si="10"/>
        <v>1.1268581398485107</v>
      </c>
      <c r="T29" s="106">
        <f t="shared" si="11"/>
        <v>-2.3367442723417629</v>
      </c>
      <c r="U29" s="106" t="s">
        <v>2</v>
      </c>
      <c r="V29" s="106">
        <f t="shared" si="12"/>
        <v>1.1387137160243002</v>
      </c>
      <c r="W29" s="106">
        <f t="shared" si="13"/>
        <v>-3.2853021869844277</v>
      </c>
      <c r="X29" s="106" t="s">
        <v>2</v>
      </c>
      <c r="Y29" s="106">
        <f t="shared" si="14"/>
        <v>1.6299563396771302</v>
      </c>
      <c r="Z29" s="11">
        <f t="shared" si="15"/>
        <v>-1.2523758791997981</v>
      </c>
      <c r="AA29" s="12" t="s">
        <v>2</v>
      </c>
      <c r="AB29" s="11">
        <f t="shared" si="16"/>
        <v>0.68162665353869289</v>
      </c>
      <c r="AF29" s="90">
        <f t="shared" si="17"/>
        <v>0.33014141850806755</v>
      </c>
      <c r="AG29" s="90" t="s">
        <v>2</v>
      </c>
      <c r="AH29" s="90">
        <f t="shared" si="18"/>
        <v>1.0016913696794976</v>
      </c>
      <c r="AI29" s="90">
        <f t="shared" si="19"/>
        <v>0.92603120966139318</v>
      </c>
      <c r="AJ29" s="90" t="s">
        <v>2</v>
      </c>
      <c r="AK29" s="90">
        <f t="shared" si="20"/>
        <v>0.97211820013630246</v>
      </c>
      <c r="AL29" s="90">
        <f t="shared" si="21"/>
        <v>-1.531013279449378</v>
      </c>
      <c r="AM29" s="90" t="s">
        <v>2</v>
      </c>
      <c r="AN29" s="90">
        <f t="shared" si="22"/>
        <v>2.1998768123886689</v>
      </c>
      <c r="AO29" s="90">
        <f t="shared" si="23"/>
        <v>-4.2118691677903719</v>
      </c>
      <c r="AP29" s="90" t="s">
        <v>2</v>
      </c>
      <c r="AQ29" s="90">
        <f t="shared" si="24"/>
        <v>1.6449988670465052</v>
      </c>
      <c r="AR29" s="90">
        <f t="shared" si="25"/>
        <v>-0.46830619827309405</v>
      </c>
      <c r="AS29" s="90" t="s">
        <v>2</v>
      </c>
      <c r="AT29" s="90">
        <f t="shared" si="26"/>
        <v>1.4524057041569709</v>
      </c>
      <c r="AU29" s="90">
        <f t="shared" si="27"/>
        <v>1.4929648442408849</v>
      </c>
      <c r="AV29" s="90" t="s">
        <v>2</v>
      </c>
      <c r="AW29" s="90">
        <f t="shared" si="28"/>
        <v>2.0111353654961754</v>
      </c>
      <c r="AX29" s="97"/>
      <c r="AY29" s="97"/>
      <c r="AZ29" s="97"/>
      <c r="BA29" s="97"/>
      <c r="BB29" s="97"/>
      <c r="BC29" s="97"/>
      <c r="BD29" s="97">
        <f t="shared" si="31"/>
        <v>-4.7259012653680941</v>
      </c>
      <c r="BE29" s="97" t="s">
        <v>2</v>
      </c>
      <c r="BF29" s="97">
        <f t="shared" si="32"/>
        <v>1.5747712493103285</v>
      </c>
      <c r="BG29" s="97">
        <f t="shared" si="33"/>
        <v>1.9874025939508044</v>
      </c>
      <c r="BH29" s="97" t="s">
        <v>2</v>
      </c>
      <c r="BI29" s="97">
        <f t="shared" si="34"/>
        <v>1.2029863482793213</v>
      </c>
      <c r="BJ29" s="97">
        <f t="shared" si="35"/>
        <v>-2.0468783045596295</v>
      </c>
      <c r="BK29" s="97" t="s">
        <v>2</v>
      </c>
      <c r="BL29" s="97">
        <f t="shared" si="36"/>
        <v>1.2567006604284248</v>
      </c>
      <c r="BM29" s="97">
        <f t="shared" si="37"/>
        <v>2.1563053573657731</v>
      </c>
      <c r="BN29" s="97" t="s">
        <v>2</v>
      </c>
      <c r="BO29" s="97">
        <f t="shared" si="38"/>
        <v>1.724640221413104</v>
      </c>
      <c r="BP29" s="97">
        <f t="shared" si="39"/>
        <v>-3.5957374304855794</v>
      </c>
      <c r="BQ29" s="97" t="s">
        <v>2</v>
      </c>
      <c r="BR29" s="97">
        <f t="shared" si="40"/>
        <v>1.6201171876686533</v>
      </c>
      <c r="BS29" s="97"/>
      <c r="BT29" s="97"/>
      <c r="BU29" s="97"/>
      <c r="BV29" s="97">
        <f t="shared" si="43"/>
        <v>2.443006852545837</v>
      </c>
      <c r="BW29" s="97" t="s">
        <v>2</v>
      </c>
      <c r="BX29" s="97">
        <f t="shared" si="44"/>
        <v>1.7237996626745238</v>
      </c>
      <c r="BY29" s="97">
        <f t="shared" si="67"/>
        <v>-0.17119326079628738</v>
      </c>
      <c r="BZ29" s="97" t="s">
        <v>2</v>
      </c>
      <c r="CA29" s="97">
        <f t="shared" si="68"/>
        <v>1.6006845295678747</v>
      </c>
      <c r="CB29" s="97">
        <f t="shared" si="45"/>
        <v>-0.63684569284461201</v>
      </c>
      <c r="CC29" s="97" t="s">
        <v>2</v>
      </c>
      <c r="CD29" s="97">
        <f t="shared" si="46"/>
        <v>1.2815874322555096</v>
      </c>
      <c r="CE29" s="97"/>
      <c r="CF29" s="97"/>
      <c r="CG29" s="97"/>
      <c r="CH29" s="97">
        <f t="shared" si="47"/>
        <v>-2.7168831629934544</v>
      </c>
      <c r="CI29" s="97" t="s">
        <v>2</v>
      </c>
      <c r="CJ29" s="97">
        <f t="shared" si="48"/>
        <v>1.3889165697123695</v>
      </c>
      <c r="CK29" s="97">
        <f t="shared" si="49"/>
        <v>-0.82764746776864406</v>
      </c>
      <c r="CL29" s="97" t="s">
        <v>2</v>
      </c>
      <c r="CM29" s="97">
        <f t="shared" si="50"/>
        <v>1.589727356763837</v>
      </c>
      <c r="CN29" s="1">
        <f t="shared" si="69"/>
        <v>-2.3144899828565491</v>
      </c>
      <c r="CO29" s="1" t="s">
        <v>2</v>
      </c>
      <c r="CP29" s="1">
        <f t="shared" si="70"/>
        <v>1.0201938684749003</v>
      </c>
      <c r="CQ29" s="1">
        <f t="shared" si="51"/>
        <v>0.91827178899805961</v>
      </c>
      <c r="CR29" s="1" t="s">
        <v>2</v>
      </c>
      <c r="CS29" s="1">
        <f t="shared" si="52"/>
        <v>1.6635359811043153</v>
      </c>
      <c r="CT29" s="1">
        <f t="shared" si="53"/>
        <v>-4.2305973284917364E-2</v>
      </c>
      <c r="CU29" s="1" t="s">
        <v>2</v>
      </c>
      <c r="CV29" s="1">
        <f t="shared" si="54"/>
        <v>1.7502246083855082</v>
      </c>
      <c r="CW29" s="1">
        <f t="shared" si="55"/>
        <v>-6.1115134447157216</v>
      </c>
      <c r="CX29" s="1" t="s">
        <v>2</v>
      </c>
      <c r="CY29" s="1">
        <f t="shared" si="56"/>
        <v>2.3033999001825758</v>
      </c>
      <c r="CZ29" s="1">
        <f t="shared" si="57"/>
        <v>2.2328189565168355</v>
      </c>
      <c r="DA29" s="1" t="s">
        <v>2</v>
      </c>
      <c r="DB29" s="1">
        <f t="shared" si="58"/>
        <v>1.4084038963008543</v>
      </c>
      <c r="DC29" s="1">
        <f t="shared" si="59"/>
        <v>-2.6577776043051893</v>
      </c>
      <c r="DD29" s="1" t="s">
        <v>2</v>
      </c>
      <c r="DE29" s="1">
        <f t="shared" si="60"/>
        <v>1.3631676391104379</v>
      </c>
      <c r="DF29" s="1">
        <f t="shared" si="61"/>
        <v>-1.7449849067714407</v>
      </c>
      <c r="DG29" s="1" t="s">
        <v>2</v>
      </c>
      <c r="DH29" s="1">
        <f t="shared" si="62"/>
        <v>1.7871771628712936</v>
      </c>
      <c r="DI29" s="1">
        <f t="shared" si="63"/>
        <v>-0.4015483630749328</v>
      </c>
      <c r="DJ29" s="1" t="s">
        <v>2</v>
      </c>
      <c r="DK29" s="1">
        <f t="shared" si="64"/>
        <v>0.76552510534921436</v>
      </c>
      <c r="DL29" s="11">
        <f t="shared" si="65"/>
        <v>-0.84909424040007031</v>
      </c>
      <c r="DM29" s="12" t="s">
        <v>2</v>
      </c>
      <c r="DN29" s="11">
        <f>STDEVA((AU29,CH29,AR29,AO29,CE29,DF29,CZ29,CW29,CT29,CQ29,CN29,CB29,AL29,BY29,BV29,AI29,BS29,BP29,BM29,BJ29,AF29,BG29,BD29,BA29,AX29))/SQRT(COUNTA(AU29,CH29,AR29,AO29,CE29,DF29,CZ29,CW29,CT29,CQ29,CN29,CB29,AL29,BY29,BV29,AI29,BS29,BP29,BM29,BJ29,AF29,BG29,BD29,BA29,AX29))</f>
        <v>0.53846914675503543</v>
      </c>
    </row>
    <row r="30" spans="1:119" x14ac:dyDescent="0.2">
      <c r="H30"/>
      <c r="I30"/>
      <c r="J30"/>
      <c r="K30" s="5"/>
      <c r="L30" s="5"/>
      <c r="M30" s="5"/>
    </row>
    <row r="31" spans="1:119" x14ac:dyDescent="0.2">
      <c r="H31"/>
      <c r="I31"/>
      <c r="J31"/>
      <c r="K31" s="5"/>
      <c r="L31" s="5"/>
      <c r="M31" s="5"/>
      <c r="AF31" s="103">
        <f>AVERAGE(AF17,AI17,AL17,AO17,AR17,AU17)</f>
        <v>-11.691722531553781</v>
      </c>
      <c r="AG31" s="1" t="s">
        <v>2</v>
      </c>
      <c r="AH31" s="1">
        <f>STDEVA(AF17,AI17,AL17,AO17,AR17,AU17)/SQRT(COUNTA(AF17,AI17,AL17,AO17,AR17,AU17))</f>
        <v>0.50753296303096551</v>
      </c>
      <c r="AX31" s="104">
        <f>AVERAGE(BV17,BM17,BD17,BG17,BJ17,BP17,BY17,CB17,CH17)</f>
        <v>-10.667023571980264</v>
      </c>
      <c r="AY31" s="105" t="s">
        <v>2</v>
      </c>
      <c r="AZ31" s="105">
        <f>STDEVA(BV17,BM17,BD17,BG17,BJ17,BP17,BY17,CB17,CH17)/SQRT(COUNTA(BV17,BM17,BD17,BG17,BJ17,BP17,BY17,CB17,CH17))</f>
        <v>0.37511432509188941</v>
      </c>
      <c r="CN31" s="103">
        <f>AVERAGE(CN17,CQ17,CT17,CW17,CZ17,DF17)</f>
        <v>-8.8714438753547444</v>
      </c>
      <c r="CO31" s="1" t="s">
        <v>2</v>
      </c>
      <c r="CP31" s="1">
        <f>STDEVA(CN17,CQ17,CT17,CW17,CZ17,DF17)/SQRT(COUNTA(CN17,CQ17,CT17,CW17,CZ17,DF17))</f>
        <v>0.5480997261625018</v>
      </c>
    </row>
    <row r="32" spans="1:119" s="69" customFormat="1" x14ac:dyDescent="0.2">
      <c r="A32" s="69" t="s">
        <v>103</v>
      </c>
      <c r="AA32" s="70"/>
    </row>
    <row r="33" spans="1:109" x14ac:dyDescent="0.2">
      <c r="H33"/>
      <c r="I33"/>
      <c r="J33"/>
      <c r="K33" s="5"/>
      <c r="L33" s="5"/>
      <c r="M33" s="5"/>
    </row>
    <row r="34" spans="1:109" s="7" customFormat="1" x14ac:dyDescent="0.2">
      <c r="B34" s="7" t="s">
        <v>3</v>
      </c>
      <c r="E34" s="7" t="s">
        <v>5</v>
      </c>
      <c r="H34" s="7" t="s">
        <v>36</v>
      </c>
      <c r="N34" s="7" t="s">
        <v>9</v>
      </c>
      <c r="Q34" s="7" t="s">
        <v>10</v>
      </c>
      <c r="T34" s="7" t="s">
        <v>11</v>
      </c>
      <c r="W34" s="7" t="s">
        <v>99</v>
      </c>
      <c r="Z34" s="7" t="s">
        <v>42</v>
      </c>
      <c r="AA34" s="15"/>
      <c r="AC34" s="7" t="s">
        <v>100</v>
      </c>
      <c r="AF34" s="7" t="s">
        <v>101</v>
      </c>
      <c r="AI34" s="13" t="s">
        <v>12</v>
      </c>
      <c r="AJ34" s="13"/>
      <c r="AK34" s="13"/>
      <c r="AL34" s="7" t="s">
        <v>37</v>
      </c>
      <c r="CK34" s="13"/>
      <c r="CL34" s="13"/>
      <c r="CM34" s="13"/>
      <c r="CW34" s="13"/>
      <c r="CX34" s="13"/>
      <c r="CY34" s="13"/>
      <c r="DC34" s="13"/>
      <c r="DD34" s="13"/>
      <c r="DE34" s="13"/>
    </row>
    <row r="35" spans="1:109" x14ac:dyDescent="0.2">
      <c r="B35" s="222" t="s">
        <v>1</v>
      </c>
      <c r="C35" s="222"/>
      <c r="D35" s="222"/>
      <c r="E35" s="222" t="s">
        <v>1</v>
      </c>
      <c r="F35" s="222"/>
      <c r="G35" s="222"/>
      <c r="H35" s="223" t="s">
        <v>1</v>
      </c>
      <c r="I35" s="223"/>
      <c r="J35" s="223"/>
      <c r="N35" s="224" t="s">
        <v>1</v>
      </c>
      <c r="O35" s="224"/>
      <c r="P35" s="224"/>
      <c r="Q35" s="224" t="s">
        <v>1</v>
      </c>
      <c r="R35" s="224"/>
      <c r="S35" s="224"/>
      <c r="T35" s="224" t="s">
        <v>1</v>
      </c>
      <c r="U35" s="224"/>
      <c r="V35" s="224"/>
      <c r="W35" s="224" t="s">
        <v>1</v>
      </c>
      <c r="X35" s="224"/>
      <c r="Y35" s="224"/>
      <c r="Z35" s="224" t="s">
        <v>1</v>
      </c>
      <c r="AA35" s="224"/>
      <c r="AB35" s="224"/>
      <c r="AC35" s="224" t="s">
        <v>1</v>
      </c>
      <c r="AD35" s="224"/>
      <c r="AE35" s="224"/>
      <c r="AF35" s="224" t="s">
        <v>1</v>
      </c>
      <c r="AG35" s="224"/>
      <c r="AH35" s="224"/>
      <c r="AI35" s="228" t="s">
        <v>1</v>
      </c>
      <c r="AJ35" s="228"/>
      <c r="AK35" s="228"/>
      <c r="AL35" s="223" t="s">
        <v>1</v>
      </c>
      <c r="AM35" s="223"/>
      <c r="AN35" s="223"/>
    </row>
    <row r="36" spans="1:109" x14ac:dyDescent="0.2">
      <c r="A36">
        <v>990</v>
      </c>
      <c r="B36" s="106">
        <v>-25.345458938234479</v>
      </c>
      <c r="C36" s="106" t="s">
        <v>2</v>
      </c>
      <c r="D36" s="106">
        <v>2.3832442501300868</v>
      </c>
      <c r="E36" s="106">
        <v>-21.767961847121377</v>
      </c>
      <c r="F36" s="106" t="s">
        <v>2</v>
      </c>
      <c r="G36" s="106">
        <v>1.4357103173945489</v>
      </c>
      <c r="H36" s="2">
        <v>-22.7256893751</v>
      </c>
      <c r="I36" s="2" t="s">
        <v>2</v>
      </c>
      <c r="J36" s="2">
        <v>1.2297989626315704</v>
      </c>
      <c r="N36" s="1">
        <v>-20.959118375316834</v>
      </c>
      <c r="O36" s="1" t="s">
        <v>2</v>
      </c>
      <c r="P36" s="1">
        <v>2.1922258403919908</v>
      </c>
      <c r="Q36" s="1">
        <v>-19.087511568062098</v>
      </c>
      <c r="R36" s="1" t="s">
        <v>2</v>
      </c>
      <c r="S36" s="1">
        <v>2.4133456605313381</v>
      </c>
      <c r="T36" s="1">
        <v>-20.644342082326126</v>
      </c>
      <c r="U36" s="1" t="s">
        <v>2</v>
      </c>
      <c r="V36" s="1">
        <v>1.8007509394171699</v>
      </c>
      <c r="W36" s="1">
        <v>-16.712598432239268</v>
      </c>
      <c r="X36" s="1" t="s">
        <v>2</v>
      </c>
      <c r="Y36" s="1">
        <v>2.0276320205408851</v>
      </c>
      <c r="Z36" s="1"/>
      <c r="AA36" s="1"/>
      <c r="AB36" s="1"/>
      <c r="AC36" s="1">
        <v>-15.398489156375984</v>
      </c>
      <c r="AD36" s="1" t="s">
        <v>2</v>
      </c>
      <c r="AE36" s="1">
        <v>2.1184494573316339</v>
      </c>
      <c r="AF36" s="1"/>
      <c r="AG36" s="1"/>
      <c r="AH36" s="1"/>
      <c r="AI36" s="14">
        <v>-21.213897352073463</v>
      </c>
      <c r="AJ36" s="14" t="s">
        <v>2</v>
      </c>
      <c r="AK36" s="14">
        <v>2.0534269987137459</v>
      </c>
      <c r="AL36" s="4">
        <v>-18.63816748199465</v>
      </c>
      <c r="AM36" s="9" t="s">
        <v>2</v>
      </c>
      <c r="AN36" s="4">
        <v>0.86839530809236598</v>
      </c>
    </row>
    <row r="37" spans="1:109" x14ac:dyDescent="0.2">
      <c r="A37">
        <v>991</v>
      </c>
      <c r="B37" s="106">
        <v>-25.534403214690137</v>
      </c>
      <c r="C37" s="106" t="s">
        <v>2</v>
      </c>
      <c r="D37" s="106">
        <v>2.3796194948460609</v>
      </c>
      <c r="E37" s="106">
        <v>-22.953061203363934</v>
      </c>
      <c r="F37" s="106" t="s">
        <v>2</v>
      </c>
      <c r="G37" s="106">
        <v>1.4416305289728208</v>
      </c>
      <c r="H37" s="2">
        <v>-23.648793947347645</v>
      </c>
      <c r="I37" s="2" t="s">
        <v>2</v>
      </c>
      <c r="J37" s="2">
        <v>1.2330094614628946</v>
      </c>
      <c r="N37" s="1">
        <v>-20.1270016465932</v>
      </c>
      <c r="O37" s="1" t="s">
        <v>2</v>
      </c>
      <c r="P37" s="1">
        <v>2.1728744510827021</v>
      </c>
      <c r="Q37" s="1">
        <v>-22.946487910211587</v>
      </c>
      <c r="R37" s="1" t="s">
        <v>2</v>
      </c>
      <c r="S37" s="1">
        <v>2.4478205840756937</v>
      </c>
      <c r="T37" s="1">
        <v>-21.527403337906037</v>
      </c>
      <c r="U37" s="1" t="s">
        <v>2</v>
      </c>
      <c r="V37" s="1">
        <v>1.813945835032456</v>
      </c>
      <c r="W37" s="1">
        <v>-18.182572306638555</v>
      </c>
      <c r="X37" s="1" t="s">
        <v>2</v>
      </c>
      <c r="Y37" s="1">
        <v>2.0025437370298191</v>
      </c>
      <c r="Z37" s="1">
        <v>-21.60623990566657</v>
      </c>
      <c r="AA37" s="1" t="s">
        <v>2</v>
      </c>
      <c r="AB37" s="1">
        <v>2.0737369796893508</v>
      </c>
      <c r="AC37" s="1">
        <v>-17.194123358761139</v>
      </c>
      <c r="AD37" s="1" t="s">
        <v>2</v>
      </c>
      <c r="AE37" s="1">
        <v>1.5381438265135077</v>
      </c>
      <c r="AF37" s="1">
        <v>-15.204718106147318</v>
      </c>
      <c r="AG37" s="1" t="s">
        <v>2</v>
      </c>
      <c r="AH37" s="1">
        <v>2.0070315143028288</v>
      </c>
      <c r="AI37" s="14">
        <v>-16.747112782963146</v>
      </c>
      <c r="AJ37" s="14" t="s">
        <v>2</v>
      </c>
      <c r="AK37" s="14">
        <v>2.0760226001471977</v>
      </c>
      <c r="AL37" s="4">
        <v>-19.21003352845463</v>
      </c>
      <c r="AM37" s="9" t="s">
        <v>2</v>
      </c>
      <c r="AN37" s="4">
        <v>0.70647117055457165</v>
      </c>
    </row>
    <row r="38" spans="1:109" x14ac:dyDescent="0.2">
      <c r="A38">
        <v>992</v>
      </c>
      <c r="B38" s="106">
        <v>-23.622549995562792</v>
      </c>
      <c r="C38" s="106" t="s">
        <v>2</v>
      </c>
      <c r="D38" s="106">
        <v>2.3751258192349018</v>
      </c>
      <c r="E38" s="106">
        <v>-24.060333957792722</v>
      </c>
      <c r="F38" s="106" t="s">
        <v>2</v>
      </c>
      <c r="G38" s="106">
        <v>1.4558610577204454</v>
      </c>
      <c r="H38" s="2">
        <v>-23.940849175730804</v>
      </c>
      <c r="I38" s="2" t="s">
        <v>2</v>
      </c>
      <c r="J38" s="2">
        <v>1.2412366713700251</v>
      </c>
      <c r="N38" s="1">
        <v>-22.787252229628962</v>
      </c>
      <c r="O38" s="1" t="s">
        <v>2</v>
      </c>
      <c r="P38" s="1">
        <v>2.2082382566373893</v>
      </c>
      <c r="Q38" s="1">
        <v>-20.075696096902405</v>
      </c>
      <c r="R38" s="1" t="s">
        <v>2</v>
      </c>
      <c r="S38" s="1">
        <v>2.4601420585870932</v>
      </c>
      <c r="T38" s="1">
        <v>-20.870738304835879</v>
      </c>
      <c r="U38" s="1" t="s">
        <v>2</v>
      </c>
      <c r="V38" s="1">
        <v>1.8044968048091989</v>
      </c>
      <c r="W38" s="1">
        <v>-21.526165762302597</v>
      </c>
      <c r="X38" s="1" t="s">
        <v>2</v>
      </c>
      <c r="Y38" s="1">
        <v>1.4216305845481774</v>
      </c>
      <c r="Z38" s="1">
        <v>-21.465569902546221</v>
      </c>
      <c r="AA38" s="1" t="s">
        <v>2</v>
      </c>
      <c r="AB38" s="1">
        <v>1.5027593019686878</v>
      </c>
      <c r="AC38" s="1">
        <v>-19.654728238065466</v>
      </c>
      <c r="AD38" s="1" t="s">
        <v>2</v>
      </c>
      <c r="AE38" s="1">
        <v>1.5301189858751185</v>
      </c>
      <c r="AF38" s="1">
        <v>-21.138258990407333</v>
      </c>
      <c r="AG38" s="1" t="s">
        <v>2</v>
      </c>
      <c r="AH38" s="1">
        <v>1.3908035700262642</v>
      </c>
      <c r="AI38" s="14">
        <v>-19.259510777514087</v>
      </c>
      <c r="AJ38" s="14" t="s">
        <v>2</v>
      </c>
      <c r="AK38" s="14">
        <v>2.0972011036100273</v>
      </c>
      <c r="AL38" s="4">
        <v>-21.055170459573613</v>
      </c>
      <c r="AM38" s="9" t="s">
        <v>2</v>
      </c>
      <c r="AN38" s="4">
        <v>0.60589339762443062</v>
      </c>
    </row>
    <row r="39" spans="1:109" x14ac:dyDescent="0.2">
      <c r="A39">
        <v>993</v>
      </c>
      <c r="B39" s="106">
        <v>-17.226368495169897</v>
      </c>
      <c r="C39" s="106" t="s">
        <v>2</v>
      </c>
      <c r="D39" s="106">
        <v>2.3840585898178248</v>
      </c>
      <c r="E39" s="106">
        <v>-16.580631416028059</v>
      </c>
      <c r="F39" s="106" t="s">
        <v>2</v>
      </c>
      <c r="G39" s="106">
        <v>1.2225415595624693</v>
      </c>
      <c r="H39" s="2">
        <v>-16.715220687205544</v>
      </c>
      <c r="I39" s="2" t="s">
        <v>2</v>
      </c>
      <c r="J39" s="2">
        <v>1.0878486107313228</v>
      </c>
      <c r="N39" s="1">
        <v>-15.928124282195588</v>
      </c>
      <c r="O39" s="1" t="s">
        <v>2</v>
      </c>
      <c r="P39" s="1">
        <v>2.2427381877763573</v>
      </c>
      <c r="Q39" s="1">
        <v>-14.19513500261116</v>
      </c>
      <c r="R39" s="1" t="s">
        <v>2</v>
      </c>
      <c r="S39" s="1">
        <v>2.4537329707595745</v>
      </c>
      <c r="T39" s="1">
        <v>-14.172564074029669</v>
      </c>
      <c r="U39" s="1" t="s">
        <v>2</v>
      </c>
      <c r="V39" s="1">
        <v>1.7964401129196439</v>
      </c>
      <c r="W39" s="1">
        <v>-16.854870703443382</v>
      </c>
      <c r="X39" s="1" t="s">
        <v>2</v>
      </c>
      <c r="Y39" s="1">
        <v>1.4122989920472138</v>
      </c>
      <c r="Z39" s="1">
        <v>-10.751125310574871</v>
      </c>
      <c r="AA39" s="1" t="s">
        <v>2</v>
      </c>
      <c r="AB39" s="1">
        <v>1.505074275019082</v>
      </c>
      <c r="AC39" s="1">
        <v>-9.7147543926622291</v>
      </c>
      <c r="AD39" s="1" t="s">
        <v>2</v>
      </c>
      <c r="AE39" s="1">
        <v>1.6177003864956554</v>
      </c>
      <c r="AF39" s="1">
        <v>-15.071034336728072</v>
      </c>
      <c r="AG39" s="1" t="s">
        <v>2</v>
      </c>
      <c r="AH39" s="1">
        <v>1.3808198203439044</v>
      </c>
      <c r="AI39" s="14">
        <v>-21.020983272579286</v>
      </c>
      <c r="AJ39" s="14" t="s">
        <v>2</v>
      </c>
      <c r="AK39" s="14">
        <v>2.0424864800319442</v>
      </c>
      <c r="AL39" s="4">
        <v>-13.772162603863269</v>
      </c>
      <c r="AM39" s="9" t="s">
        <v>2</v>
      </c>
      <c r="AN39" s="4">
        <v>0.60966607338371559</v>
      </c>
    </row>
    <row r="40" spans="1:109" x14ac:dyDescent="0.2">
      <c r="A40">
        <v>994</v>
      </c>
      <c r="B40" s="106">
        <v>-12.225149206567032</v>
      </c>
      <c r="C40" s="106" t="s">
        <v>2</v>
      </c>
      <c r="D40" s="106">
        <v>2.3592520784208291</v>
      </c>
      <c r="E40" s="106">
        <v>-14.028096424495761</v>
      </c>
      <c r="F40" s="106" t="s">
        <v>2</v>
      </c>
      <c r="G40" s="106">
        <v>1.2090670722361365</v>
      </c>
      <c r="H40" s="2">
        <v>-13.654157964715473</v>
      </c>
      <c r="I40" s="2" t="s">
        <v>2</v>
      </c>
      <c r="J40" s="2">
        <v>1.0759984702064163</v>
      </c>
      <c r="N40" s="1">
        <v>-9.5695682951625329</v>
      </c>
      <c r="O40" s="1" t="s">
        <v>2</v>
      </c>
      <c r="P40" s="1">
        <v>2.2154500490707498</v>
      </c>
      <c r="Q40" s="1">
        <v>-7.5227120115859414</v>
      </c>
      <c r="R40" s="1" t="s">
        <v>2</v>
      </c>
      <c r="S40" s="1">
        <v>2.4317435589653225</v>
      </c>
      <c r="T40" s="1">
        <v>-8.8115056838012897</v>
      </c>
      <c r="U40" s="1" t="s">
        <v>2</v>
      </c>
      <c r="V40" s="1">
        <v>1.7967944236037467</v>
      </c>
      <c r="W40" s="1">
        <v>-13.546566220332901</v>
      </c>
      <c r="X40" s="1" t="s">
        <v>2</v>
      </c>
      <c r="Y40" s="1">
        <v>1.3529990115542838</v>
      </c>
      <c r="Z40" s="1">
        <v>-12.76974497382577</v>
      </c>
      <c r="AA40" s="1" t="s">
        <v>2</v>
      </c>
      <c r="AB40" s="1">
        <v>2.1312272059127033</v>
      </c>
      <c r="AC40" s="1">
        <v>-9.686198035205539</v>
      </c>
      <c r="AD40" s="1" t="s">
        <v>2</v>
      </c>
      <c r="AE40" s="1">
        <v>1.5168621887471985</v>
      </c>
      <c r="AF40" s="1">
        <v>-10.115892429645722</v>
      </c>
      <c r="AG40" s="1" t="s">
        <v>2</v>
      </c>
      <c r="AH40" s="1">
        <v>1.3952605269127438</v>
      </c>
      <c r="AI40" s="14">
        <v>-17.126612793717744</v>
      </c>
      <c r="AJ40" s="14" t="s">
        <v>2</v>
      </c>
      <c r="AK40" s="14">
        <v>2.0581581592878546</v>
      </c>
      <c r="AL40" s="4">
        <v>-10.673208949126266</v>
      </c>
      <c r="AM40" s="9" t="s">
        <v>2</v>
      </c>
      <c r="AN40" s="4">
        <v>0.62434898295808472</v>
      </c>
    </row>
    <row r="41" spans="1:109" x14ac:dyDescent="0.2">
      <c r="A41">
        <v>995</v>
      </c>
      <c r="B41" s="106">
        <v>-14.850155204258254</v>
      </c>
      <c r="C41" s="106" t="s">
        <v>2</v>
      </c>
      <c r="D41" s="106">
        <v>2.3604730742788758</v>
      </c>
      <c r="E41" s="106">
        <v>-13.849336040935857</v>
      </c>
      <c r="F41" s="106" t="s">
        <v>2</v>
      </c>
      <c r="G41" s="106">
        <v>1.4375319904611736</v>
      </c>
      <c r="H41" s="2">
        <v>-14.120502098216804</v>
      </c>
      <c r="I41" s="2" t="s">
        <v>2</v>
      </c>
      <c r="J41" s="2">
        <v>1.2277709852886027</v>
      </c>
      <c r="N41" s="1">
        <v>-7.4645993563094981</v>
      </c>
      <c r="O41" s="1" t="s">
        <v>2</v>
      </c>
      <c r="P41" s="1">
        <v>2.1369179001546978</v>
      </c>
      <c r="Q41" s="1">
        <v>-13.332439766689074</v>
      </c>
      <c r="R41" s="1" t="s">
        <v>2</v>
      </c>
      <c r="S41" s="1">
        <v>2.4687174059166641</v>
      </c>
      <c r="T41" s="1">
        <v>-13.050425028307</v>
      </c>
      <c r="U41" s="1" t="s">
        <v>2</v>
      </c>
      <c r="V41" s="1">
        <v>2.0656685600441178</v>
      </c>
      <c r="W41" s="1">
        <v>-10.656521082831659</v>
      </c>
      <c r="X41" s="1" t="s">
        <v>2</v>
      </c>
      <c r="Y41" s="1">
        <v>1.9738699109405069</v>
      </c>
      <c r="Z41" s="1">
        <v>-12.468963804462053</v>
      </c>
      <c r="AA41" s="1" t="s">
        <v>2</v>
      </c>
      <c r="AB41" s="1">
        <v>2.1408728499824181</v>
      </c>
      <c r="AC41" s="1">
        <v>-11.197188745063258</v>
      </c>
      <c r="AD41" s="1" t="s">
        <v>2</v>
      </c>
      <c r="AE41" s="1">
        <v>1.5341466237688135</v>
      </c>
      <c r="AF41" s="1">
        <v>-7.6639402868706741</v>
      </c>
      <c r="AG41" s="1" t="s">
        <v>2</v>
      </c>
      <c r="AH41" s="1">
        <v>2.0127555672600632</v>
      </c>
      <c r="AI41" s="14">
        <v>-16.485749365939274</v>
      </c>
      <c r="AJ41" s="14" t="s">
        <v>2</v>
      </c>
      <c r="AK41" s="14">
        <v>2.0321371291251076</v>
      </c>
      <c r="AL41" s="4">
        <v>-10.771753402632367</v>
      </c>
      <c r="AM41" s="9" t="s">
        <v>2</v>
      </c>
      <c r="AN41" s="4">
        <v>0.72001736408090589</v>
      </c>
    </row>
    <row r="42" spans="1:109" x14ac:dyDescent="0.2">
      <c r="A42">
        <v>996</v>
      </c>
      <c r="B42" s="106">
        <v>-12.09302608073315</v>
      </c>
      <c r="C42" s="106" t="s">
        <v>2</v>
      </c>
      <c r="D42" s="106">
        <v>2.3726780106753118</v>
      </c>
      <c r="E42" s="106">
        <v>-17.710922133265971</v>
      </c>
      <c r="F42" s="106" t="s">
        <v>2</v>
      </c>
      <c r="G42" s="106">
        <v>1.470147082788096</v>
      </c>
      <c r="H42" s="2">
        <v>-16.16523771129841</v>
      </c>
      <c r="I42" s="2" t="s">
        <v>2</v>
      </c>
      <c r="J42" s="2">
        <v>1.2497014057621503</v>
      </c>
      <c r="N42" s="1">
        <v>-11.930514762403366</v>
      </c>
      <c r="O42" s="1" t="s">
        <v>2</v>
      </c>
      <c r="P42" s="1">
        <v>2.1379736785596952</v>
      </c>
      <c r="Q42" s="1">
        <v>-6.1319443839249477</v>
      </c>
      <c r="R42" s="1" t="s">
        <v>2</v>
      </c>
      <c r="S42" s="1">
        <v>2.4365217297790012</v>
      </c>
      <c r="T42" s="1">
        <v>-12.531680201276373</v>
      </c>
      <c r="U42" s="1" t="s">
        <v>2</v>
      </c>
      <c r="V42" s="1">
        <v>2.0764495676276304</v>
      </c>
      <c r="W42" s="1">
        <v>-13.139271218644332</v>
      </c>
      <c r="X42" s="1" t="s">
        <v>2</v>
      </c>
      <c r="Y42" s="1">
        <v>1.9302418163182691</v>
      </c>
      <c r="Z42" s="1">
        <v>-10.170431248096135</v>
      </c>
      <c r="AA42" s="1" t="s">
        <v>2</v>
      </c>
      <c r="AB42" s="1">
        <v>2.143288066754466</v>
      </c>
      <c r="AC42" s="1">
        <v>-10.584411576819219</v>
      </c>
      <c r="AD42" s="1" t="s">
        <v>2</v>
      </c>
      <c r="AE42" s="1">
        <v>1.5269130464546596</v>
      </c>
      <c r="AF42" s="1">
        <v>-7.0352623731018138</v>
      </c>
      <c r="AG42" s="1" t="s">
        <v>2</v>
      </c>
      <c r="AH42" s="1">
        <v>2.0285063070353324</v>
      </c>
      <c r="AI42" s="14">
        <v>-14.481260598907086</v>
      </c>
      <c r="AJ42" s="14" t="s">
        <v>2</v>
      </c>
      <c r="AK42" s="14">
        <v>2.0296723672133878</v>
      </c>
      <c r="AL42" s="4">
        <v>-10.442724646430257</v>
      </c>
      <c r="AM42" s="9" t="s">
        <v>2</v>
      </c>
      <c r="AN42" s="4">
        <v>0.71719111160343973</v>
      </c>
    </row>
    <row r="43" spans="1:109" x14ac:dyDescent="0.2">
      <c r="A43">
        <v>997</v>
      </c>
      <c r="B43" s="106">
        <v>-12.182475108872492</v>
      </c>
      <c r="C43" s="106" t="s">
        <v>2</v>
      </c>
      <c r="D43" s="106">
        <v>2.3651207270512611</v>
      </c>
      <c r="E43" s="106">
        <v>-14.207950746908171</v>
      </c>
      <c r="F43" s="106" t="s">
        <v>2</v>
      </c>
      <c r="G43" s="106">
        <v>1.5352964283752539</v>
      </c>
      <c r="H43" s="2">
        <v>-13.609210498059078</v>
      </c>
      <c r="I43" s="2" t="s">
        <v>2</v>
      </c>
      <c r="J43" s="2">
        <v>1.2877653853882856</v>
      </c>
      <c r="N43" s="1">
        <v>-11.068649852574497</v>
      </c>
      <c r="O43" s="1" t="s">
        <v>2</v>
      </c>
      <c r="P43" s="1">
        <v>2.1443200560335756</v>
      </c>
      <c r="Q43" s="1">
        <v>-9.2427457232703283</v>
      </c>
      <c r="R43" s="1" t="s">
        <v>2</v>
      </c>
      <c r="S43" s="1">
        <v>2.4252774977896454</v>
      </c>
      <c r="T43" s="1">
        <v>-12.498229365125013</v>
      </c>
      <c r="U43" s="1" t="s">
        <v>2</v>
      </c>
      <c r="V43" s="1">
        <v>2.0001692065465009</v>
      </c>
      <c r="W43" s="1">
        <v>-15.391822665251631</v>
      </c>
      <c r="X43" s="1" t="s">
        <v>2</v>
      </c>
      <c r="Y43" s="1">
        <v>1.9109887511802484</v>
      </c>
      <c r="Z43" s="1">
        <v>-10.081698325274724</v>
      </c>
      <c r="AA43" s="1" t="s">
        <v>2</v>
      </c>
      <c r="AB43" s="1">
        <v>2.1539843577754834</v>
      </c>
      <c r="AC43" s="1">
        <v>-12.474767882471593</v>
      </c>
      <c r="AD43" s="1" t="s">
        <v>2</v>
      </c>
      <c r="AE43" s="1">
        <v>1.543348790423092</v>
      </c>
      <c r="AF43" s="1">
        <v>-8.7449422586075585</v>
      </c>
      <c r="AG43" s="1" t="s">
        <v>2</v>
      </c>
      <c r="AH43" s="1">
        <v>1.9783110734445291</v>
      </c>
      <c r="AI43" s="14">
        <v>-12.216246017081378</v>
      </c>
      <c r="AJ43" s="14" t="s">
        <v>2</v>
      </c>
      <c r="AK43" s="14">
        <v>2.0733396479924013</v>
      </c>
      <c r="AL43" s="4">
        <v>-11.640687102670411</v>
      </c>
      <c r="AM43" s="9" t="s">
        <v>2</v>
      </c>
      <c r="AN43" s="4">
        <v>0.71222908422204811</v>
      </c>
    </row>
    <row r="44" spans="1:109" x14ac:dyDescent="0.2">
      <c r="A44">
        <v>998</v>
      </c>
      <c r="B44" s="106">
        <v>-14.945158935948722</v>
      </c>
      <c r="C44" s="106" t="s">
        <v>2</v>
      </c>
      <c r="D44" s="106">
        <v>2.3575135516354928</v>
      </c>
      <c r="E44" s="106">
        <v>-17.984878670519123</v>
      </c>
      <c r="F44" s="106" t="s">
        <v>2</v>
      </c>
      <c r="G44" s="106">
        <v>1.4537472402947047</v>
      </c>
      <c r="H44" s="2">
        <v>-17.151200217452978</v>
      </c>
      <c r="I44" s="2" t="s">
        <v>2</v>
      </c>
      <c r="J44" s="2">
        <v>1.2374008582214846</v>
      </c>
      <c r="N44" s="1">
        <v>-8.3686008119822084</v>
      </c>
      <c r="O44" s="1" t="s">
        <v>2</v>
      </c>
      <c r="P44" s="1">
        <v>2.0936702882323632</v>
      </c>
      <c r="Q44" s="1">
        <v>-9.4771192430838092</v>
      </c>
      <c r="R44" s="1" t="s">
        <v>2</v>
      </c>
      <c r="S44" s="1">
        <v>2.4150948562216787</v>
      </c>
      <c r="T44" s="1">
        <v>-12.49155652677536</v>
      </c>
      <c r="U44" s="1" t="s">
        <v>2</v>
      </c>
      <c r="V44" s="1">
        <v>2.0285656787633921</v>
      </c>
      <c r="W44" s="1">
        <v>-15.565302875069854</v>
      </c>
      <c r="X44" s="1" t="s">
        <v>2</v>
      </c>
      <c r="Y44" s="1">
        <v>1.9084344069572368</v>
      </c>
      <c r="Z44" s="1">
        <v>-12.981453434549151</v>
      </c>
      <c r="AA44" s="1" t="s">
        <v>2</v>
      </c>
      <c r="AB44" s="1">
        <v>2.1094547376475559</v>
      </c>
      <c r="AC44" s="1">
        <v>-8.2941071866299296</v>
      </c>
      <c r="AD44" s="1" t="s">
        <v>2</v>
      </c>
      <c r="AE44" s="1">
        <v>2.1343541779414821</v>
      </c>
      <c r="AF44" s="1">
        <v>-14.327539042655268</v>
      </c>
      <c r="AG44" s="1" t="s">
        <v>2</v>
      </c>
      <c r="AH44" s="1">
        <v>1.9232709716421215</v>
      </c>
      <c r="AI44" s="14">
        <v>-13.156670187554841</v>
      </c>
      <c r="AJ44" s="14" t="s">
        <v>2</v>
      </c>
      <c r="AK44" s="14">
        <v>2.1008127613435676</v>
      </c>
      <c r="AL44" s="4">
        <v>-11.937876628294376</v>
      </c>
      <c r="AM44" s="9" t="s">
        <v>2</v>
      </c>
      <c r="AN44" s="4">
        <v>0.74487456233350124</v>
      </c>
    </row>
    <row r="45" spans="1:109" x14ac:dyDescent="0.2">
      <c r="A45">
        <v>999</v>
      </c>
      <c r="B45" s="106">
        <v>-12.34523110968655</v>
      </c>
      <c r="C45" s="106" t="s">
        <v>2</v>
      </c>
      <c r="D45" s="106">
        <v>2.3549182673635967</v>
      </c>
      <c r="E45" s="106">
        <v>-17.767081648815577</v>
      </c>
      <c r="F45" s="106" t="s">
        <v>2</v>
      </c>
      <c r="G45" s="106">
        <v>1.4614276790052076</v>
      </c>
      <c r="H45" s="2">
        <v>-16.271521120231004</v>
      </c>
      <c r="I45" s="2" t="s">
        <v>2</v>
      </c>
      <c r="J45" s="2">
        <v>1.2417494771921878</v>
      </c>
      <c r="N45" s="1">
        <v>-13.643059827378679</v>
      </c>
      <c r="O45" s="1" t="s">
        <v>2</v>
      </c>
      <c r="P45" s="1">
        <v>2.1174430711328296</v>
      </c>
      <c r="Q45" s="1">
        <v>-17.101214088012682</v>
      </c>
      <c r="R45" s="1" t="s">
        <v>2</v>
      </c>
      <c r="S45" s="1">
        <v>2.4358997515380554</v>
      </c>
      <c r="T45" s="1">
        <v>-13.694146931541251</v>
      </c>
      <c r="U45" s="1" t="s">
        <v>2</v>
      </c>
      <c r="V45" s="1">
        <v>1.9844891479433415</v>
      </c>
      <c r="W45" s="1">
        <v>-11.436275005534903</v>
      </c>
      <c r="X45" s="1" t="s">
        <v>2</v>
      </c>
      <c r="Y45" s="1">
        <v>1.9611316990816583</v>
      </c>
      <c r="Z45" s="1">
        <v>-18.549323392951457</v>
      </c>
      <c r="AA45" s="1" t="s">
        <v>2</v>
      </c>
      <c r="AB45" s="1">
        <v>2.0902353137308549</v>
      </c>
      <c r="AC45" s="1">
        <v>-8.9753166306415508</v>
      </c>
      <c r="AD45" s="1" t="s">
        <v>2</v>
      </c>
      <c r="AE45" s="1">
        <v>2.1534947112300995</v>
      </c>
      <c r="AF45" s="1">
        <v>-11.06575983496394</v>
      </c>
      <c r="AG45" s="1" t="s">
        <v>2</v>
      </c>
      <c r="AH45" s="1">
        <v>2.070992618300711</v>
      </c>
      <c r="AI45" s="14">
        <v>-12.865053255559534</v>
      </c>
      <c r="AJ45" s="14" t="s">
        <v>2</v>
      </c>
      <c r="AK45" s="14">
        <v>2.1136386793975674</v>
      </c>
      <c r="AL45" s="4">
        <v>-13.370059936008595</v>
      </c>
      <c r="AM45" s="9" t="s">
        <v>2</v>
      </c>
      <c r="AN45" s="4">
        <v>0.7552895585482704</v>
      </c>
    </row>
    <row r="46" spans="1:109" x14ac:dyDescent="0.2">
      <c r="A46">
        <v>1000</v>
      </c>
      <c r="B46" s="106">
        <v>-13.636123658229193</v>
      </c>
      <c r="C46" s="106" t="s">
        <v>2</v>
      </c>
      <c r="D46" s="106">
        <v>2.3577815504687689</v>
      </c>
      <c r="E46" s="106">
        <v>-15.18893307103275</v>
      </c>
      <c r="F46" s="106" t="s">
        <v>2</v>
      </c>
      <c r="G46" s="106">
        <v>2.3992280398595325</v>
      </c>
      <c r="H46" s="2">
        <v>-14.400223098926524</v>
      </c>
      <c r="I46" s="2" t="s">
        <v>2</v>
      </c>
      <c r="J46" s="2">
        <v>1.6816658915094103</v>
      </c>
      <c r="N46" s="1">
        <v>-12.51693689139033</v>
      </c>
      <c r="O46" s="1" t="s">
        <v>2</v>
      </c>
      <c r="P46" s="1">
        <v>2.1862590214245503</v>
      </c>
      <c r="Q46" s="1">
        <v>-15.522283246787616</v>
      </c>
      <c r="R46" s="1" t="s">
        <v>2</v>
      </c>
      <c r="S46" s="1">
        <v>2.4226862261396915</v>
      </c>
      <c r="T46" s="1">
        <v>-13.917919894134268</v>
      </c>
      <c r="U46" s="1" t="s">
        <v>2</v>
      </c>
      <c r="V46" s="1">
        <v>2.0751560731329546</v>
      </c>
      <c r="W46" s="1">
        <v>-16.860333718006991</v>
      </c>
      <c r="X46" s="1" t="s">
        <v>2</v>
      </c>
      <c r="Y46" s="1">
        <v>1.9030964448009022</v>
      </c>
      <c r="Z46" s="1">
        <v>-9.8239749977087065</v>
      </c>
      <c r="AA46" s="1" t="s">
        <v>2</v>
      </c>
      <c r="AB46" s="1">
        <v>2.1593739595976964</v>
      </c>
      <c r="AC46" s="1">
        <v>-9.3857804979522452</v>
      </c>
      <c r="AD46" s="1" t="s">
        <v>2</v>
      </c>
      <c r="AE46" s="1">
        <v>1.5361726079707789</v>
      </c>
      <c r="AF46" s="1">
        <v>-12.912792365661785</v>
      </c>
      <c r="AG46" s="1" t="s">
        <v>2</v>
      </c>
      <c r="AH46" s="1">
        <v>2.1068416936340535</v>
      </c>
      <c r="AI46" s="14">
        <v>-16.99010828878178</v>
      </c>
      <c r="AJ46" s="14" t="s">
        <v>2</v>
      </c>
      <c r="AK46" s="14">
        <v>2.0686101672054309</v>
      </c>
      <c r="AL46" s="4">
        <v>-12.658306601380676</v>
      </c>
      <c r="AM46" s="9" t="s">
        <v>2</v>
      </c>
      <c r="AN46" s="4">
        <v>0.72116607135636313</v>
      </c>
    </row>
    <row r="47" spans="1:109" x14ac:dyDescent="0.2">
      <c r="B47" s="106"/>
      <c r="C47" s="106"/>
      <c r="D47" s="106"/>
      <c r="E47" s="106"/>
      <c r="F47" s="106"/>
      <c r="G47" s="106"/>
      <c r="H47" s="2"/>
      <c r="I47" s="2"/>
      <c r="J47" s="2"/>
      <c r="N47" s="1"/>
      <c r="O47" s="1"/>
      <c r="P47" s="1"/>
      <c r="Q47" s="1"/>
      <c r="R47" s="1"/>
      <c r="S47" s="1"/>
      <c r="T47" s="1"/>
      <c r="U47" s="1"/>
      <c r="V47" s="1"/>
      <c r="W47" s="1"/>
      <c r="X47" s="1"/>
      <c r="Y47" s="1"/>
      <c r="Z47" s="1"/>
      <c r="AA47" s="1"/>
      <c r="AB47" s="1"/>
      <c r="AC47" s="1"/>
      <c r="AD47" s="1"/>
      <c r="AE47" s="1"/>
      <c r="AF47" s="1"/>
      <c r="AG47" s="1"/>
      <c r="AH47" s="1"/>
      <c r="AI47" s="14"/>
      <c r="AJ47" s="14"/>
      <c r="AK47" s="14"/>
      <c r="AL47" s="4"/>
      <c r="AM47" s="9"/>
      <c r="AN47" s="4"/>
    </row>
    <row r="48" spans="1:109" x14ac:dyDescent="0.2">
      <c r="A48" t="s">
        <v>53</v>
      </c>
      <c r="B48" s="106">
        <f>AVERAGE(B36:B46)</f>
        <v>-16.7278272679957</v>
      </c>
      <c r="C48" s="106" t="s">
        <v>2</v>
      </c>
      <c r="D48" s="106">
        <f>SQRT(1/(1/D46^2+1/D36^2+1/D37^2+1/D38^2+1/D39^2+1/D40^2+1/D41^2+1/D42^2+1/D43^2+1/D44^2+1/D45^2))</f>
        <v>0.71400657524642774</v>
      </c>
      <c r="E48" s="106">
        <f>AVERAGE(E36:E46)</f>
        <v>-17.827198832752664</v>
      </c>
      <c r="F48" s="106" t="s">
        <v>2</v>
      </c>
      <c r="G48" s="106">
        <f>SQRT(1/(1/G46^2+1/G36^2+1/G37^2+1/G38^2+1/G39^2+1/G40^2+1/G41^2+1/G42^2+1/G43^2+1/G44^2+1/G45^2))</f>
        <v>0.43531002350390857</v>
      </c>
      <c r="H48" s="26">
        <f>AVERAGE(H36:H46)</f>
        <v>-17.491145990389477</v>
      </c>
      <c r="I48" s="26" t="s">
        <v>2</v>
      </c>
      <c r="J48" s="26">
        <f>SQRT(1/(1/J46^2+1/J36^2+1/J37^2+1/J38^2+1/J39^2+1/J40^2+1/J41^2+1/J42^2+1/J43^2+1/J44^2+1/J45^2))</f>
        <v>0.37168022325255456</v>
      </c>
      <c r="K48" s="55">
        <f>STDEVA(E48,B48)/SQRT(COUNTA(B48,E48))</f>
        <v>0.5496857823784822</v>
      </c>
      <c r="N48" s="1">
        <f>AVERAGE(N36:N46)</f>
        <v>-14.033038757357788</v>
      </c>
      <c r="O48" s="1" t="s">
        <v>2</v>
      </c>
      <c r="P48" s="1">
        <f>SQRT(1/(1/P46^2+1/P36^2+1/P37^2+1/P38^2+1/P39^2+1/P40^2+1/P41^2+1/P42^2+1/P43^2+1/P44^2+1/P45^2))</f>
        <v>0.65328291005632044</v>
      </c>
      <c r="Q48" s="1">
        <f>AVERAGE(Q36:Q46)</f>
        <v>-14.057753549194695</v>
      </c>
      <c r="R48" s="1" t="s">
        <v>2</v>
      </c>
      <c r="S48" s="1">
        <f>SQRT(1/(1/S46^2+1/S36^2+1/S37^2+1/S38^2+1/S39^2+1/S40^2+1/S41^2+1/S42^2+1/S43^2+1/S44^2+1/S45^2))</f>
        <v>0.73483599195639571</v>
      </c>
      <c r="T48" s="1">
        <f>AVERAGE(T36:T46)</f>
        <v>-14.928228311823476</v>
      </c>
      <c r="U48" s="1" t="s">
        <v>2</v>
      </c>
      <c r="V48" s="1">
        <f>SQRT(1/(1/V46^2+1/V36^2+1/V37^2+1/V38^2+1/V39^2+1/V40^2+1/V41^2+1/V42^2+1/V43^2+1/V44^2+1/V45^2))</f>
        <v>0.57885609345278644</v>
      </c>
      <c r="W48" s="1">
        <f>AVERAGE(W36:W46)</f>
        <v>-15.442936362754187</v>
      </c>
      <c r="X48" s="1" t="s">
        <v>2</v>
      </c>
      <c r="Y48" s="1">
        <f>SQRT(1/(1/Y46^2+1/Y36^2+1/Y37^2+1/Y38^2+1/Y39^2+1/Y40^2+1/Y41^2+1/Y42^2+1/Y43^2+1/Y44^2+1/Y45^2))</f>
        <v>0.52381230506494669</v>
      </c>
      <c r="Z48" s="1">
        <f>AVERAGE(Z36:Z46)</f>
        <v>-14.066852529565569</v>
      </c>
      <c r="AA48" s="1" t="s">
        <v>2</v>
      </c>
      <c r="AB48" s="1">
        <f>SQRT(1/(1/AB46^2+1/AB37^2+1/AB38^2+1/AB39^2+1/AB40^2+1/AB41^2+1/AB42^2+1/AB43^2+1/AB44^2+1/AB45^2))</f>
        <v>0.61355011061982745</v>
      </c>
      <c r="AC48" s="1">
        <f>AVERAGE(AC36:AC46)</f>
        <v>-12.050896881877106</v>
      </c>
      <c r="AD48" s="1" t="s">
        <v>2</v>
      </c>
      <c r="AE48" s="1">
        <f>SQRT(1/(1/AE46^2+1/AE36^2+1/AE37^2+1/AE38^2+1/AE39^2+1/AE40^2+1/AE41^2+1/AE42^2+1/AE43^2+1/AE44^2+1/AE45^2))</f>
        <v>0.49863731935693067</v>
      </c>
      <c r="AF48" s="1">
        <f>AVERAGE(AF36:AF46)</f>
        <v>-12.328014002478948</v>
      </c>
      <c r="AG48" s="1" t="s">
        <v>2</v>
      </c>
      <c r="AH48" s="1">
        <f>SQRT(1/(1/AH46^2+1/AH37^2+1/AH38^2+1/AH39^2+1/AH40^2+1/AH41^2+1/AH42^2+1/AH43^2+1/AH44^2+1/AH45^2))</f>
        <v>0.55236480038814995</v>
      </c>
      <c r="AI48" s="1">
        <f>AVERAGE(AI36:AI46)</f>
        <v>-16.505745881151967</v>
      </c>
      <c r="AJ48" s="1" t="s">
        <v>2</v>
      </c>
      <c r="AK48" s="1">
        <f>SQRT(1/(1/AK46^2+1/AK36^2+1/AK37^2+1/AK38^2+1/AK39^2+1/AK40^2+1/AK41^2+1/AK42^2+1/AK43^2+1/AK44^2+1/AK45^2))</f>
        <v>0.62330207170966656</v>
      </c>
      <c r="AL48" s="26">
        <f>AVERAGE(AL36:AL46)</f>
        <v>-14.015468303675373</v>
      </c>
      <c r="AM48" s="26" t="s">
        <v>2</v>
      </c>
      <c r="AN48" s="26">
        <f>SQRT(1/(1/AN46^2+1/AN36^2+1/AN37^2+1/AN38^2+1/AN39^2+1/AN40^2+1/AN41^2+1/AN42^2+1/AN43^2+1/AN44^2+1/AN45^2))</f>
        <v>0.21020336181733063</v>
      </c>
      <c r="AO48" s="55">
        <f>STDEVA(AI48,AF48,AC48,Z48,W48,T48,Q48,N48)/SQRT(COUNTA(N48,Q48,T48,W48,Z48,AC48,AF48,AI48))</f>
        <v>0.52739481239860642</v>
      </c>
    </row>
    <row r="49" spans="1:41" x14ac:dyDescent="0.2">
      <c r="A49" t="s">
        <v>86</v>
      </c>
      <c r="B49" s="106">
        <f>AVERAGE(B40:B42)-AVERAGE(B36:B38)</f>
        <v>11.778027218976325</v>
      </c>
      <c r="C49" s="106" t="s">
        <v>2</v>
      </c>
      <c r="D49" s="106">
        <f>SQRT((1/(1/D36^2+1/D37^2+1/D38^2)+1/(1/D40^2+1/D41^2+1/D42^2)))</f>
        <v>1.9365087912709433</v>
      </c>
      <c r="E49" s="106">
        <f>AVERAGE(E40:E42)-AVERAGE(E36:E38)</f>
        <v>7.7310008031934796</v>
      </c>
      <c r="F49" s="106" t="s">
        <v>2</v>
      </c>
      <c r="G49" s="106">
        <f>SQRT((1/(1/G36^2+1/G37^2+1/G38^2)+1/(1/G40^2+1/G41^2+1/G42^2)))</f>
        <v>1.1439449236936179</v>
      </c>
      <c r="H49" s="26">
        <f>AVERAGE(H40:H42)-AVERAGE(H36:H38)</f>
        <v>8.7918115746492536</v>
      </c>
      <c r="I49" s="26" t="s">
        <v>2</v>
      </c>
      <c r="J49" s="26">
        <f>SQRT((1/(1/J36^2+1/J37^2+1/J38^2)+1/(1/J40^2+1/J41^2+1/J42^2)))</f>
        <v>0.98463277041027863</v>
      </c>
      <c r="K49" s="55">
        <f>STDEVA(E49,B49)</f>
        <v>2.8616798222411366</v>
      </c>
      <c r="N49" s="1">
        <f>AVERAGE(N40:N42)-AVERAGE(N36:N38)</f>
        <v>11.636229945887864</v>
      </c>
      <c r="O49" s="1" t="s">
        <v>2</v>
      </c>
      <c r="P49" s="1">
        <f>SQRT((1/(1/P36^2+1/P37^2+1/P38^2)+1/(1/P40^2+1/P41^2+1/P42^2)))</f>
        <v>1.7773444693536218</v>
      </c>
      <c r="Q49" s="1">
        <f>AVERAGE(Q40:Q42)-AVERAGE(Q36:Q38)</f>
        <v>11.707533137658709</v>
      </c>
      <c r="R49" s="1" t="s">
        <v>2</v>
      </c>
      <c r="S49" s="1">
        <f>SQRT((1/(1/S36^2+1/S37^2+1/S38^2)+1/(1/S40^2+1/S41^2+1/S42^2)))</f>
        <v>1.9945758461709364</v>
      </c>
      <c r="T49" s="1">
        <f>AVERAGE(T40:T42)-AVERAGE(T36:T38)</f>
        <v>9.5496242705611269</v>
      </c>
      <c r="U49" s="1" t="s">
        <v>2</v>
      </c>
      <c r="V49" s="1">
        <f>SQRT((1/(1/V36^2+1/V37^2+1/V38^2)+1/(1/V40^2+1/V41^2+1/V42^2)))</f>
        <v>1.5415146063473941</v>
      </c>
      <c r="W49" s="1">
        <f>AVERAGE(W40:W42)-AVERAGE(W36:W38)</f>
        <v>6.3596593264571766</v>
      </c>
      <c r="X49" s="1" t="s">
        <v>2</v>
      </c>
      <c r="Y49" s="1">
        <f>SQRT((1/(1/Y36^2+1/Y37^2+1/Y38^2)+1/(1/Y40^2+1/Y41^2+1/Y42^2)))</f>
        <v>1.395058867014463</v>
      </c>
      <c r="Z49" s="1">
        <f>AVERAGE(Z40:Z42)-AVERAGE(Z36:Z38)</f>
        <v>9.7328582286450764</v>
      </c>
      <c r="AA49" s="1" t="s">
        <v>2</v>
      </c>
      <c r="AB49" s="1" t="e">
        <f>SQRT((1/(1/AB36^2+1/AB37^2+1/AB38^2)+1/(1/AB40^2+1/AB41^2+1/AB42^2)))</f>
        <v>#DIV/0!</v>
      </c>
      <c r="AC49" s="1">
        <f>AVERAGE(AC40:AC42)-AVERAGE(AC36:AC38)</f>
        <v>6.9265141320381893</v>
      </c>
      <c r="AD49" s="1" t="s">
        <v>2</v>
      </c>
      <c r="AE49" s="1">
        <f>SQRT((1/(1/AE36^2+1/AE37^2+1/AE38^2)+1/(1/AE40^2+1/AE41^2+1/AE42^2)))</f>
        <v>1.3070753127875629</v>
      </c>
      <c r="AF49" s="1">
        <f>AVERAGE(AF40:AF42)-AVERAGE(AF36:AF38)</f>
        <v>9.8997901850712537</v>
      </c>
      <c r="AG49" s="1" t="s">
        <v>2</v>
      </c>
      <c r="AH49" s="1" t="e">
        <f>SQRT((1/(1/AH36^2+1/AH37^2+1/AH38^2)+1/(1/AH40^2+1/AH41^2+1/AH42^2)))</f>
        <v>#DIV/0!</v>
      </c>
      <c r="AI49" s="1">
        <f>AVERAGE(AI40:AI42)-AVERAGE(AI36:AI38)</f>
        <v>3.0422993846621971</v>
      </c>
      <c r="AJ49" s="1" t="s">
        <v>2</v>
      </c>
      <c r="AK49" s="1">
        <f>SQRT((1/(1/AK36^2+1/AK37^2+1/AK38^2)+1/(1/AK40^2+1/AK41^2+1/AK42^2)))</f>
        <v>1.6800804204517517</v>
      </c>
      <c r="AL49" s="26">
        <f>AVERAGE(AL40:AL42)-AVERAGE(AL36:AL38)</f>
        <v>9.0052281572780011</v>
      </c>
      <c r="AM49" s="26" t="s">
        <v>2</v>
      </c>
      <c r="AN49" s="26">
        <f>SQRT((1/(1/AN36^2+1/AN37^2+1/AN38^2)+1/(1/AN40^2+1/AN41^2+1/AN42^2)))</f>
        <v>0.56613325406053394</v>
      </c>
      <c r="AO49" s="55">
        <f>STDEVA(AI49,AF49,AC49,Z49,W49,T49,Q49,N49)</f>
        <v>2.9630440199118784</v>
      </c>
    </row>
    <row r="50" spans="1:41" x14ac:dyDescent="0.2">
      <c r="B50" s="109" t="s">
        <v>74</v>
      </c>
      <c r="C50" s="110"/>
      <c r="D50" s="110"/>
      <c r="E50" s="110"/>
      <c r="F50" s="110"/>
      <c r="G50" s="110"/>
      <c r="N50" s="10" t="s">
        <v>8</v>
      </c>
      <c r="O50"/>
      <c r="P50"/>
      <c r="Q50"/>
      <c r="R50"/>
      <c r="S50"/>
      <c r="Z50" s="5"/>
      <c r="AA50" s="5"/>
      <c r="AB50" s="5"/>
      <c r="AC50" s="5"/>
      <c r="AD50" s="5"/>
      <c r="AE50" s="5"/>
      <c r="AF50" s="5"/>
      <c r="AG50" s="5"/>
      <c r="AH50" s="5"/>
      <c r="AM50" s="8"/>
    </row>
    <row r="51" spans="1:41" x14ac:dyDescent="0.2">
      <c r="A51" t="s">
        <v>75</v>
      </c>
      <c r="B51" s="106">
        <f>B37-B36</f>
        <v>-0.1889442764556577</v>
      </c>
      <c r="C51" s="106" t="s">
        <v>2</v>
      </c>
      <c r="D51" s="106">
        <f t="shared" ref="D51:D60" si="71">SQRT(1/(1/D36^2+1/D37^2))</f>
        <v>1.6839251630003502</v>
      </c>
      <c r="E51" s="106">
        <f>E37-E36</f>
        <v>-1.1850993562425565</v>
      </c>
      <c r="F51" s="106" t="s">
        <v>2</v>
      </c>
      <c r="G51" s="106">
        <f t="shared" ref="G51:G60" si="72">SQRT(1/(1/G36^2+1/G37^2))</f>
        <v>1.0172871521878792</v>
      </c>
      <c r="H51" s="11">
        <f>AVERAGE(B51,G51)</f>
        <v>0.41417143786611077</v>
      </c>
      <c r="I51" s="12" t="s">
        <v>2</v>
      </c>
      <c r="J51" s="11">
        <f>STDEVA(B51,E51)/SQRT(COUNT(B51,E51))</f>
        <v>0.49807753989344933</v>
      </c>
      <c r="N51" s="1">
        <f>N37-N36</f>
        <v>0.83211672872363351</v>
      </c>
      <c r="O51" s="1" t="s">
        <v>2</v>
      </c>
      <c r="P51" s="1">
        <f t="shared" ref="P51:P60" si="73">SQRT(1/(1/P36^2+1/P37^2))</f>
        <v>1.543250512524865</v>
      </c>
      <c r="Q51" s="1">
        <f>Q37-Q36</f>
        <v>-3.8589763421494894</v>
      </c>
      <c r="R51" s="1" t="s">
        <v>2</v>
      </c>
      <c r="S51" s="1">
        <f t="shared" ref="S51:S60" si="74">SQRT(1/(1/S36^2+1/S37^2))</f>
        <v>1.7185521499121592</v>
      </c>
      <c r="T51" s="1">
        <f>T37-T36</f>
        <v>-0.88306125557991066</v>
      </c>
      <c r="U51" s="1" t="s">
        <v>2</v>
      </c>
      <c r="V51" s="1">
        <f t="shared" ref="V51:V60" si="75">SQRT(1/(1/V36^2+1/V37^2))</f>
        <v>1.2779627569243432</v>
      </c>
      <c r="W51" s="1">
        <f>W37-W36</f>
        <v>-1.4699738743992867</v>
      </c>
      <c r="X51" s="1" t="s">
        <v>2</v>
      </c>
      <c r="Y51" s="1">
        <f t="shared" ref="Y51:Y60" si="76">SQRT(1/(1/Y36^2+1/Y37^2))</f>
        <v>1.4247994801270993</v>
      </c>
      <c r="Z51" s="1"/>
      <c r="AA51" s="1"/>
      <c r="AB51" s="1"/>
      <c r="AC51" s="1">
        <f>AC37-AC36</f>
        <v>-1.7956342023851555</v>
      </c>
      <c r="AD51" s="1" t="s">
        <v>2</v>
      </c>
      <c r="AE51" s="1">
        <f t="shared" ref="AE51:AE60" si="77">SQRT(1/(1/AE36^2+1/AE37^2))</f>
        <v>1.2446637691419076</v>
      </c>
      <c r="AF51" s="1"/>
      <c r="AG51" s="1"/>
      <c r="AH51" s="1"/>
      <c r="AI51" s="14">
        <f>AI37-AI36</f>
        <v>4.4667845691103167</v>
      </c>
      <c r="AJ51" s="14" t="s">
        <v>2</v>
      </c>
      <c r="AK51" s="14">
        <f t="shared" ref="AK51:AK60" si="78">SQRT(1/(1/AK36^2+1/AK37^2))</f>
        <v>1.459915338601224</v>
      </c>
      <c r="AL51" s="11">
        <f>AVERAGE(N51,Q51,W51,AC51,AF51,AI51)</f>
        <v>-0.36513662421999626</v>
      </c>
      <c r="AM51" s="12" t="s">
        <v>2</v>
      </c>
      <c r="AN51" s="11">
        <f>STDEVA(N51,Q51,W51,AC51,AF51,AI51)/SQRT(COUNT(N51,Q51,W51,AC51,AF51,AI51))</f>
        <v>1.4187103766236286</v>
      </c>
    </row>
    <row r="52" spans="1:41" x14ac:dyDescent="0.2">
      <c r="A52" t="s">
        <v>77</v>
      </c>
      <c r="B52" s="106">
        <f t="shared" ref="B52:B60" si="79">B38-B37</f>
        <v>1.9118532191273445</v>
      </c>
      <c r="C52" s="106" t="s">
        <v>2</v>
      </c>
      <c r="D52" s="106">
        <f t="shared" si="71"/>
        <v>1.6810540749216518</v>
      </c>
      <c r="E52" s="106">
        <f t="shared" ref="E52:E60" si="80">E38-E37</f>
        <v>-1.1072727544287879</v>
      </c>
      <c r="F52" s="106" t="s">
        <v>2</v>
      </c>
      <c r="G52" s="106">
        <f t="shared" si="72"/>
        <v>1.0243809100287942</v>
      </c>
      <c r="H52" s="11">
        <f t="shared" ref="H52:H60" si="81">AVERAGE(B52,G52)</f>
        <v>1.4681170645780695</v>
      </c>
      <c r="I52" s="12" t="s">
        <v>2</v>
      </c>
      <c r="J52" s="11">
        <f t="shared" ref="J52:J60" si="82">STDEVA(B52,E52)/SQRT(COUNT(B52,E52))</f>
        <v>1.5095629867780662</v>
      </c>
      <c r="N52" s="1">
        <f t="shared" ref="N52:N60" si="83">N38-N37</f>
        <v>-2.6602505830357615</v>
      </c>
      <c r="O52" s="1" t="s">
        <v>2</v>
      </c>
      <c r="P52" s="1">
        <f t="shared" si="73"/>
        <v>1.5488058741909598</v>
      </c>
      <c r="Q52" s="1">
        <f t="shared" ref="Q52:Q60" si="84">Q38-Q37</f>
        <v>2.8707918133091823</v>
      </c>
      <c r="R52" s="1" t="s">
        <v>2</v>
      </c>
      <c r="S52" s="1">
        <f t="shared" si="74"/>
        <v>1.7352104284999017</v>
      </c>
      <c r="T52" s="1">
        <f t="shared" ref="T52:T60" si="85">T38-T37</f>
        <v>0.65666503307015844</v>
      </c>
      <c r="U52" s="1" t="s">
        <v>2</v>
      </c>
      <c r="V52" s="1">
        <f t="shared" si="75"/>
        <v>1.2792995782723804</v>
      </c>
      <c r="W52" s="1">
        <f t="shared" ref="W52:W60" si="86">W38-W37</f>
        <v>-3.3435934556640419</v>
      </c>
      <c r="X52" s="1" t="s">
        <v>2</v>
      </c>
      <c r="Y52" s="1">
        <f t="shared" si="76"/>
        <v>1.1592213345660087</v>
      </c>
      <c r="Z52" s="1">
        <f t="shared" ref="Z52:Z60" si="87">Z38-Z37</f>
        <v>0.1406700031203485</v>
      </c>
      <c r="AA52" s="1" t="s">
        <v>2</v>
      </c>
      <c r="AB52" s="1">
        <f t="shared" ref="AB52:AB60" si="88">SQRT(1/(1/AB37^2+1/AB38^2))</f>
        <v>1.216844792791467</v>
      </c>
      <c r="AC52" s="1">
        <f t="shared" ref="AC52:AC60" si="89">AC38-AC37</f>
        <v>-2.4606048793043271</v>
      </c>
      <c r="AD52" s="1" t="s">
        <v>2</v>
      </c>
      <c r="AE52" s="1">
        <f t="shared" si="77"/>
        <v>1.0847835897914844</v>
      </c>
      <c r="AF52" s="1">
        <f t="shared" ref="AF52:AF60" si="90">AF38-AF37</f>
        <v>-5.9335408842600152</v>
      </c>
      <c r="AG52" s="1" t="s">
        <v>2</v>
      </c>
      <c r="AH52" s="1">
        <f t="shared" ref="AH52:AH60" si="91">SQRT(1/(1/AH37^2+1/AH38^2))</f>
        <v>1.1431558044586685</v>
      </c>
      <c r="AI52" s="14">
        <f t="shared" ref="AI52:AI60" si="92">AI38-AI37</f>
        <v>-2.5123979945509411</v>
      </c>
      <c r="AJ52" s="14" t="s">
        <v>2</v>
      </c>
      <c r="AK52" s="14">
        <f t="shared" si="78"/>
        <v>1.4754003922994572</v>
      </c>
      <c r="AL52" s="11">
        <f t="shared" ref="AL52:AL60" si="93">AVERAGE(N52,Q52,W52,AC52,AF52,AI52)</f>
        <v>-2.3399326639176508</v>
      </c>
      <c r="AM52" s="12" t="s">
        <v>2</v>
      </c>
      <c r="AN52" s="11">
        <f t="shared" ref="AN52:AN60" si="94">STDEVA(N52,Q52,W52,AC52,AF52,AI52)/SQRT(COUNT(N52,Q52,W52,AC52,AF52,AI52))</f>
        <v>1.1721762416820689</v>
      </c>
    </row>
    <row r="53" spans="1:41" x14ac:dyDescent="0.2">
      <c r="A53" t="s">
        <v>78</v>
      </c>
      <c r="B53" s="106">
        <f t="shared" si="79"/>
        <v>6.3961815003928955</v>
      </c>
      <c r="C53" s="106" t="s">
        <v>2</v>
      </c>
      <c r="D53" s="106">
        <f t="shared" si="71"/>
        <v>1.6826168925710681</v>
      </c>
      <c r="E53" s="106">
        <f t="shared" si="80"/>
        <v>7.479702541764663</v>
      </c>
      <c r="F53" s="106" t="s">
        <v>2</v>
      </c>
      <c r="G53" s="106">
        <f t="shared" si="72"/>
        <v>0.93622690628798066</v>
      </c>
      <c r="H53" s="11">
        <f t="shared" si="81"/>
        <v>3.6662042033404383</v>
      </c>
      <c r="I53" s="12" t="s">
        <v>2</v>
      </c>
      <c r="J53" s="11">
        <f t="shared" si="82"/>
        <v>0.54176052068588376</v>
      </c>
      <c r="N53" s="1">
        <f t="shared" si="83"/>
        <v>6.8591279474333735</v>
      </c>
      <c r="O53" s="1" t="s">
        <v>2</v>
      </c>
      <c r="P53" s="1">
        <f t="shared" si="73"/>
        <v>1.5735160016266174</v>
      </c>
      <c r="Q53" s="1">
        <f t="shared" si="84"/>
        <v>5.8805610942912452</v>
      </c>
      <c r="R53" s="1" t="s">
        <v>2</v>
      </c>
      <c r="S53" s="1">
        <f t="shared" si="74"/>
        <v>1.7373127444093033</v>
      </c>
      <c r="T53" s="1">
        <f t="shared" si="85"/>
        <v>6.6981742308062096</v>
      </c>
      <c r="U53" s="1" t="s">
        <v>2</v>
      </c>
      <c r="V53" s="1">
        <f t="shared" si="75"/>
        <v>1.2731138969034559</v>
      </c>
      <c r="W53" s="1">
        <f t="shared" si="86"/>
        <v>4.671295058859215</v>
      </c>
      <c r="X53" s="1" t="s">
        <v>2</v>
      </c>
      <c r="Y53" s="1">
        <f t="shared" si="76"/>
        <v>1.0019291150714527</v>
      </c>
      <c r="Z53" s="1">
        <f t="shared" si="87"/>
        <v>10.71444459197135</v>
      </c>
      <c r="AA53" s="1" t="s">
        <v>2</v>
      </c>
      <c r="AB53" s="1">
        <f t="shared" si="88"/>
        <v>1.0634288145879269</v>
      </c>
      <c r="AC53" s="1">
        <f t="shared" si="89"/>
        <v>9.9399738454032374</v>
      </c>
      <c r="AD53" s="1" t="s">
        <v>2</v>
      </c>
      <c r="AE53" s="1">
        <f t="shared" si="77"/>
        <v>1.1116305045307606</v>
      </c>
      <c r="AF53" s="1">
        <f t="shared" si="90"/>
        <v>6.0672246536792613</v>
      </c>
      <c r="AG53" s="1" t="s">
        <v>2</v>
      </c>
      <c r="AH53" s="1">
        <f t="shared" si="91"/>
        <v>0.97989777511783627</v>
      </c>
      <c r="AI53" s="14">
        <f t="shared" si="92"/>
        <v>-1.761472495065199</v>
      </c>
      <c r="AJ53" s="14" t="s">
        <v>2</v>
      </c>
      <c r="AK53" s="14">
        <f t="shared" si="78"/>
        <v>1.463217102465604</v>
      </c>
      <c r="AL53" s="11">
        <f t="shared" si="93"/>
        <v>5.276118350766855</v>
      </c>
      <c r="AM53" s="12" t="s">
        <v>2</v>
      </c>
      <c r="AN53" s="11">
        <f t="shared" si="94"/>
        <v>1.5826366586435061</v>
      </c>
    </row>
    <row r="54" spans="1:41" x14ac:dyDescent="0.2">
      <c r="A54" t="s">
        <v>79</v>
      </c>
      <c r="B54" s="106">
        <f t="shared" si="79"/>
        <v>5.001219288602865</v>
      </c>
      <c r="C54" s="106" t="s">
        <v>2</v>
      </c>
      <c r="D54" s="106">
        <f t="shared" si="71"/>
        <v>1.6769447692799888</v>
      </c>
      <c r="E54" s="106">
        <f t="shared" si="80"/>
        <v>2.5525349915322977</v>
      </c>
      <c r="F54" s="106" t="s">
        <v>2</v>
      </c>
      <c r="G54" s="106">
        <f t="shared" si="72"/>
        <v>0.85966387872757732</v>
      </c>
      <c r="H54" s="11">
        <f t="shared" si="81"/>
        <v>2.9304415836652211</v>
      </c>
      <c r="I54" s="12" t="s">
        <v>2</v>
      </c>
      <c r="J54" s="11">
        <f t="shared" si="82"/>
        <v>1.224342148535283</v>
      </c>
      <c r="N54" s="1">
        <f t="shared" si="83"/>
        <v>6.3585559870330552</v>
      </c>
      <c r="O54" s="1" t="s">
        <v>2</v>
      </c>
      <c r="P54" s="1">
        <f t="shared" si="73"/>
        <v>1.5761189889729603</v>
      </c>
      <c r="Q54" s="1">
        <f t="shared" si="84"/>
        <v>6.6724229910252184</v>
      </c>
      <c r="R54" s="1" t="s">
        <v>2</v>
      </c>
      <c r="S54" s="1">
        <f t="shared" si="74"/>
        <v>1.7272243035786536</v>
      </c>
      <c r="T54" s="1">
        <f t="shared" si="85"/>
        <v>5.3610583902283793</v>
      </c>
      <c r="U54" s="1" t="s">
        <v>2</v>
      </c>
      <c r="V54" s="1">
        <f t="shared" si="75"/>
        <v>1.2704002350566674</v>
      </c>
      <c r="W54" s="1">
        <f t="shared" si="86"/>
        <v>3.3083044831104811</v>
      </c>
      <c r="X54" s="1" t="s">
        <v>2</v>
      </c>
      <c r="Y54" s="1">
        <f t="shared" si="76"/>
        <v>0.97700627243712035</v>
      </c>
      <c r="Z54" s="1">
        <f t="shared" si="87"/>
        <v>-2.0186196632508988</v>
      </c>
      <c r="AA54" s="1" t="s">
        <v>2</v>
      </c>
      <c r="AB54" s="1">
        <f t="shared" si="88"/>
        <v>1.2294128598483967</v>
      </c>
      <c r="AC54" s="1">
        <f t="shared" si="89"/>
        <v>2.8556357456690051E-2</v>
      </c>
      <c r="AD54" s="1" t="s">
        <v>2</v>
      </c>
      <c r="AE54" s="1">
        <f t="shared" si="77"/>
        <v>1.1065159036862222</v>
      </c>
      <c r="AF54" s="1">
        <f t="shared" si="90"/>
        <v>4.9551419070823499</v>
      </c>
      <c r="AG54" s="1" t="s">
        <v>2</v>
      </c>
      <c r="AH54" s="1">
        <f t="shared" si="91"/>
        <v>0.98145278254842094</v>
      </c>
      <c r="AI54" s="14">
        <f t="shared" si="92"/>
        <v>3.8943704788615428</v>
      </c>
      <c r="AJ54" s="14" t="s">
        <v>2</v>
      </c>
      <c r="AK54" s="14">
        <f t="shared" si="78"/>
        <v>1.4497650528507526</v>
      </c>
      <c r="AL54" s="11">
        <f t="shared" si="93"/>
        <v>4.2028920340948899</v>
      </c>
      <c r="AM54" s="12" t="s">
        <v>2</v>
      </c>
      <c r="AN54" s="11">
        <f t="shared" si="94"/>
        <v>0.99384607920137324</v>
      </c>
    </row>
    <row r="55" spans="1:41" x14ac:dyDescent="0.2">
      <c r="A55" t="s">
        <v>80</v>
      </c>
      <c r="B55" s="106">
        <f t="shared" si="79"/>
        <v>-2.6250059976912219</v>
      </c>
      <c r="C55" s="106" t="s">
        <v>2</v>
      </c>
      <c r="D55" s="106">
        <f t="shared" si="71"/>
        <v>1.6686746628887099</v>
      </c>
      <c r="E55" s="106">
        <f t="shared" si="80"/>
        <v>0.17876038355990431</v>
      </c>
      <c r="F55" s="106" t="s">
        <v>2</v>
      </c>
      <c r="G55" s="106">
        <f t="shared" si="72"/>
        <v>0.92530010420604125</v>
      </c>
      <c r="H55" s="11">
        <f t="shared" si="81"/>
        <v>-0.84985294674259038</v>
      </c>
      <c r="I55" s="12" t="s">
        <v>2</v>
      </c>
      <c r="J55" s="11">
        <f t="shared" si="82"/>
        <v>1.4018831906255629</v>
      </c>
      <c r="N55" s="1">
        <f t="shared" si="83"/>
        <v>2.1049689388530348</v>
      </c>
      <c r="O55" s="1" t="s">
        <v>2</v>
      </c>
      <c r="P55" s="1">
        <f t="shared" si="73"/>
        <v>1.5380431113564683</v>
      </c>
      <c r="Q55" s="1">
        <f t="shared" si="84"/>
        <v>-5.8097277551031326</v>
      </c>
      <c r="R55" s="1" t="s">
        <v>2</v>
      </c>
      <c r="S55" s="1">
        <f t="shared" si="74"/>
        <v>1.7324266500897261</v>
      </c>
      <c r="T55" s="1">
        <f t="shared" si="85"/>
        <v>-4.2389193445057103</v>
      </c>
      <c r="U55" s="1" t="s">
        <v>2</v>
      </c>
      <c r="V55" s="1">
        <f t="shared" si="75"/>
        <v>1.3556887053620099</v>
      </c>
      <c r="W55" s="1">
        <f t="shared" si="86"/>
        <v>2.8900451375012413</v>
      </c>
      <c r="X55" s="1" t="s">
        <v>2</v>
      </c>
      <c r="Y55" s="1">
        <f t="shared" si="76"/>
        <v>1.1159922609784101</v>
      </c>
      <c r="Z55" s="1">
        <f t="shared" si="87"/>
        <v>0.30078116936371657</v>
      </c>
      <c r="AA55" s="1" t="s">
        <v>2</v>
      </c>
      <c r="AB55" s="1">
        <f t="shared" si="88"/>
        <v>1.5104039101399203</v>
      </c>
      <c r="AC55" s="1">
        <f t="shared" si="89"/>
        <v>-1.5109907098577189</v>
      </c>
      <c r="AD55" s="1" t="s">
        <v>2</v>
      </c>
      <c r="AE55" s="1">
        <f t="shared" si="77"/>
        <v>1.0786425819820715</v>
      </c>
      <c r="AF55" s="1">
        <f t="shared" si="90"/>
        <v>2.4519521427750481</v>
      </c>
      <c r="AG55" s="1" t="s">
        <v>2</v>
      </c>
      <c r="AH55" s="1">
        <f t="shared" si="91"/>
        <v>1.1466883433964072</v>
      </c>
      <c r="AI55" s="14">
        <f t="shared" si="92"/>
        <v>0.64086342777846994</v>
      </c>
      <c r="AJ55" s="14" t="s">
        <v>2</v>
      </c>
      <c r="AK55" s="14">
        <f t="shared" si="78"/>
        <v>1.4460499807227556</v>
      </c>
      <c r="AL55" s="11">
        <f t="shared" si="93"/>
        <v>0.12785186365782378</v>
      </c>
      <c r="AM55" s="12" t="s">
        <v>2</v>
      </c>
      <c r="AN55" s="11">
        <f t="shared" si="94"/>
        <v>1.3557775541892447</v>
      </c>
    </row>
    <row r="56" spans="1:41" x14ac:dyDescent="0.2">
      <c r="A56" t="s">
        <v>81</v>
      </c>
      <c r="B56" s="106">
        <f t="shared" si="79"/>
        <v>2.7571291235251039</v>
      </c>
      <c r="C56" s="106" t="s">
        <v>2</v>
      </c>
      <c r="D56" s="106">
        <f t="shared" si="71"/>
        <v>1.6734049239330695</v>
      </c>
      <c r="E56" s="106">
        <f t="shared" si="80"/>
        <v>-3.8615860923301142</v>
      </c>
      <c r="F56" s="106" t="s">
        <v>2</v>
      </c>
      <c r="G56" s="106">
        <f t="shared" si="72"/>
        <v>1.0278257935781514</v>
      </c>
      <c r="H56" s="11">
        <f t="shared" si="81"/>
        <v>1.8924774585516277</v>
      </c>
      <c r="I56" s="12" t="s">
        <v>2</v>
      </c>
      <c r="J56" s="11">
        <f t="shared" si="82"/>
        <v>3.3093576079276086</v>
      </c>
      <c r="N56" s="1">
        <f t="shared" si="83"/>
        <v>-4.4659154060938677</v>
      </c>
      <c r="O56" s="1" t="s">
        <v>2</v>
      </c>
      <c r="P56" s="1">
        <f t="shared" si="73"/>
        <v>1.5114022737907746</v>
      </c>
      <c r="Q56" s="1">
        <f t="shared" si="84"/>
        <v>7.2004953827641263</v>
      </c>
      <c r="R56" s="1" t="s">
        <v>2</v>
      </c>
      <c r="S56" s="1">
        <f t="shared" si="74"/>
        <v>1.7341518630257946</v>
      </c>
      <c r="T56" s="1">
        <f t="shared" si="85"/>
        <v>0.51874482703062696</v>
      </c>
      <c r="U56" s="1" t="s">
        <v>2</v>
      </c>
      <c r="V56" s="1">
        <f t="shared" si="75"/>
        <v>1.4644450269796285</v>
      </c>
      <c r="W56" s="1">
        <f t="shared" si="86"/>
        <v>-2.4827501358126725</v>
      </c>
      <c r="X56" s="1" t="s">
        <v>2</v>
      </c>
      <c r="Y56" s="1">
        <f t="shared" si="76"/>
        <v>1.3800534001289906</v>
      </c>
      <c r="Z56" s="1">
        <f t="shared" si="87"/>
        <v>2.2985325563659185</v>
      </c>
      <c r="AA56" s="1" t="s">
        <v>2</v>
      </c>
      <c r="AB56" s="1">
        <f t="shared" si="88"/>
        <v>1.5146788958673332</v>
      </c>
      <c r="AC56" s="1">
        <f t="shared" si="89"/>
        <v>0.61277716824403861</v>
      </c>
      <c r="AD56" s="1" t="s">
        <v>2</v>
      </c>
      <c r="AE56" s="1">
        <f t="shared" si="77"/>
        <v>1.0822389599757487</v>
      </c>
      <c r="AF56" s="1">
        <f t="shared" si="90"/>
        <v>0.62867791376886029</v>
      </c>
      <c r="AG56" s="1" t="s">
        <v>2</v>
      </c>
      <c r="AH56" s="1">
        <f t="shared" si="91"/>
        <v>1.4287692822100839</v>
      </c>
      <c r="AI56" s="14">
        <f t="shared" si="92"/>
        <v>2.0044887670321874</v>
      </c>
      <c r="AJ56" s="14" t="s">
        <v>2</v>
      </c>
      <c r="AK56" s="14">
        <f t="shared" si="78"/>
        <v>1.4360657261856387</v>
      </c>
      <c r="AL56" s="11">
        <f t="shared" si="93"/>
        <v>0.58296228165044539</v>
      </c>
      <c r="AM56" s="12" t="s">
        <v>2</v>
      </c>
      <c r="AN56" s="11">
        <f t="shared" si="94"/>
        <v>1.6401749832649923</v>
      </c>
    </row>
    <row r="57" spans="1:41" x14ac:dyDescent="0.2">
      <c r="A57" t="s">
        <v>82</v>
      </c>
      <c r="B57" s="106">
        <f t="shared" si="79"/>
        <v>-8.9449028139341635E-2</v>
      </c>
      <c r="C57" s="106" t="s">
        <v>2</v>
      </c>
      <c r="D57" s="106">
        <f t="shared" si="71"/>
        <v>1.6750584147342982</v>
      </c>
      <c r="E57" s="106">
        <f t="shared" si="80"/>
        <v>3.5029713863577996</v>
      </c>
      <c r="F57" s="106" t="s">
        <v>2</v>
      </c>
      <c r="G57" s="106">
        <f t="shared" si="72"/>
        <v>1.0618359902283909</v>
      </c>
      <c r="H57" s="11">
        <f t="shared" si="81"/>
        <v>0.48619348104452464</v>
      </c>
      <c r="I57" s="12" t="s">
        <v>2</v>
      </c>
      <c r="J57" s="11">
        <f t="shared" si="82"/>
        <v>1.7962102072485704</v>
      </c>
      <c r="N57" s="1">
        <f t="shared" si="83"/>
        <v>0.86186490982886887</v>
      </c>
      <c r="O57" s="1" t="s">
        <v>2</v>
      </c>
      <c r="P57" s="1">
        <f t="shared" si="73"/>
        <v>1.514014481443684</v>
      </c>
      <c r="Q57" s="1">
        <f t="shared" si="84"/>
        <v>-3.1108013393453806</v>
      </c>
      <c r="R57" s="1" t="s">
        <v>2</v>
      </c>
      <c r="S57" s="1">
        <f t="shared" si="74"/>
        <v>1.7188918099182791</v>
      </c>
      <c r="T57" s="1">
        <f t="shared" si="85"/>
        <v>3.3450836151359908E-2</v>
      </c>
      <c r="U57" s="1" t="s">
        <v>2</v>
      </c>
      <c r="V57" s="1">
        <f t="shared" si="75"/>
        <v>1.4405455865642316</v>
      </c>
      <c r="W57" s="1">
        <f t="shared" si="86"/>
        <v>-2.2525514466072991</v>
      </c>
      <c r="X57" s="1" t="s">
        <v>2</v>
      </c>
      <c r="Y57" s="1">
        <f t="shared" si="76"/>
        <v>1.3580289148422879</v>
      </c>
      <c r="Z57" s="1">
        <f t="shared" si="87"/>
        <v>8.8732922821410654E-2</v>
      </c>
      <c r="AA57" s="1" t="s">
        <v>2</v>
      </c>
      <c r="AB57" s="1">
        <f t="shared" si="88"/>
        <v>1.5193011165308881</v>
      </c>
      <c r="AC57" s="1">
        <f t="shared" si="89"/>
        <v>-1.8903563056523733</v>
      </c>
      <c r="AD57" s="1" t="s">
        <v>2</v>
      </c>
      <c r="AE57" s="1">
        <f t="shared" si="77"/>
        <v>1.0854548226960181</v>
      </c>
      <c r="AF57" s="1">
        <f t="shared" si="90"/>
        <v>-1.7096798855057447</v>
      </c>
      <c r="AG57" s="1" t="s">
        <v>2</v>
      </c>
      <c r="AH57" s="1">
        <f t="shared" si="91"/>
        <v>1.416290419436157</v>
      </c>
      <c r="AI57" s="14">
        <f t="shared" si="92"/>
        <v>2.2650145818257084</v>
      </c>
      <c r="AJ57" s="14" t="s">
        <v>2</v>
      </c>
      <c r="AK57" s="14">
        <f t="shared" si="78"/>
        <v>1.4503873606094093</v>
      </c>
      <c r="AL57" s="11">
        <f t="shared" si="93"/>
        <v>-0.97275158090937008</v>
      </c>
      <c r="AM57" s="12" t="s">
        <v>2</v>
      </c>
      <c r="AN57" s="11">
        <f t="shared" si="94"/>
        <v>0.84544177042568724</v>
      </c>
    </row>
    <row r="58" spans="1:41" x14ac:dyDescent="0.2">
      <c r="A58" t="s">
        <v>83</v>
      </c>
      <c r="B58" s="106">
        <f t="shared" si="79"/>
        <v>-2.7626838270762306</v>
      </c>
      <c r="C58" s="106" t="s">
        <v>2</v>
      </c>
      <c r="D58" s="106">
        <f t="shared" si="71"/>
        <v>1.6696968633360643</v>
      </c>
      <c r="E58" s="106">
        <f t="shared" si="80"/>
        <v>-3.7769279236109519</v>
      </c>
      <c r="F58" s="106" t="s">
        <v>2</v>
      </c>
      <c r="G58" s="106">
        <f t="shared" si="72"/>
        <v>1.0556071137420249</v>
      </c>
      <c r="H58" s="11">
        <f t="shared" si="81"/>
        <v>-0.85353835666710287</v>
      </c>
      <c r="I58" s="12" t="s">
        <v>2</v>
      </c>
      <c r="J58" s="11">
        <f t="shared" si="82"/>
        <v>0.50712204826736051</v>
      </c>
      <c r="N58" s="1">
        <f t="shared" si="83"/>
        <v>2.7000490405922886</v>
      </c>
      <c r="O58" s="1" t="s">
        <v>2</v>
      </c>
      <c r="P58" s="1">
        <f t="shared" si="73"/>
        <v>1.4980348555133529</v>
      </c>
      <c r="Q58" s="1">
        <f t="shared" si="84"/>
        <v>-0.23437351981348087</v>
      </c>
      <c r="R58" s="1" t="s">
        <v>2</v>
      </c>
      <c r="S58" s="1">
        <f t="shared" si="74"/>
        <v>1.7113186972604149</v>
      </c>
      <c r="T58" s="1">
        <f t="shared" si="85"/>
        <v>6.672838349652821E-3</v>
      </c>
      <c r="U58" s="1" t="s">
        <v>2</v>
      </c>
      <c r="V58" s="1">
        <f t="shared" si="75"/>
        <v>1.4242667349133231</v>
      </c>
      <c r="W58" s="1">
        <f t="shared" si="86"/>
        <v>-0.17348020981822287</v>
      </c>
      <c r="X58" s="1" t="s">
        <v>2</v>
      </c>
      <c r="Y58" s="1">
        <f t="shared" si="76"/>
        <v>1.3503691017137389</v>
      </c>
      <c r="Z58" s="1">
        <f t="shared" si="87"/>
        <v>-2.8997551092744267</v>
      </c>
      <c r="AA58" s="1" t="s">
        <v>2</v>
      </c>
      <c r="AB58" s="1">
        <f t="shared" si="88"/>
        <v>1.5071067117294445</v>
      </c>
      <c r="AC58" s="1">
        <f t="shared" si="89"/>
        <v>4.180660695841663</v>
      </c>
      <c r="AD58" s="1" t="s">
        <v>2</v>
      </c>
      <c r="AE58" s="1">
        <f t="shared" si="77"/>
        <v>1.2506402965998213</v>
      </c>
      <c r="AF58" s="1">
        <f t="shared" si="90"/>
        <v>-5.5825967840477091</v>
      </c>
      <c r="AG58" s="1" t="s">
        <v>2</v>
      </c>
      <c r="AH58" s="1">
        <f t="shared" si="91"/>
        <v>1.379005829718855</v>
      </c>
      <c r="AI58" s="14">
        <f t="shared" si="92"/>
        <v>-0.94042417047346305</v>
      </c>
      <c r="AJ58" s="14" t="s">
        <v>2</v>
      </c>
      <c r="AK58" s="14">
        <f t="shared" si="78"/>
        <v>1.4756898450924603</v>
      </c>
      <c r="AL58" s="11">
        <f t="shared" si="93"/>
        <v>-8.3608246198207201E-3</v>
      </c>
      <c r="AM58" s="12" t="s">
        <v>2</v>
      </c>
      <c r="AN58" s="11">
        <f t="shared" si="94"/>
        <v>1.3772264405764647</v>
      </c>
    </row>
    <row r="59" spans="1:41" x14ac:dyDescent="0.2">
      <c r="A59" t="s">
        <v>84</v>
      </c>
      <c r="B59" s="106">
        <f t="shared" si="79"/>
        <v>2.5999278262621726</v>
      </c>
      <c r="C59" s="106" t="s">
        <v>2</v>
      </c>
      <c r="D59" s="106">
        <f t="shared" si="71"/>
        <v>1.6660954895436622</v>
      </c>
      <c r="E59" s="106">
        <f t="shared" si="80"/>
        <v>0.21779702170354653</v>
      </c>
      <c r="F59" s="106" t="s">
        <v>2</v>
      </c>
      <c r="G59" s="106">
        <f t="shared" si="72"/>
        <v>1.0306592456006456</v>
      </c>
      <c r="H59" s="11">
        <f t="shared" si="81"/>
        <v>1.8152935359314091</v>
      </c>
      <c r="I59" s="12" t="s">
        <v>2</v>
      </c>
      <c r="J59" s="11">
        <f t="shared" si="82"/>
        <v>1.191065402279313</v>
      </c>
      <c r="N59" s="1">
        <f t="shared" si="83"/>
        <v>-5.2744590153964701</v>
      </c>
      <c r="O59" s="1" t="s">
        <v>2</v>
      </c>
      <c r="P59" s="1">
        <f t="shared" si="73"/>
        <v>1.488782235664575</v>
      </c>
      <c r="Q59" s="1">
        <f t="shared" si="84"/>
        <v>-7.624094844928873</v>
      </c>
      <c r="R59" s="1" t="s">
        <v>2</v>
      </c>
      <c r="S59" s="1">
        <f t="shared" si="74"/>
        <v>1.7150382716339185</v>
      </c>
      <c r="T59" s="1">
        <f t="shared" si="85"/>
        <v>-1.2025904047658909</v>
      </c>
      <c r="U59" s="1" t="s">
        <v>2</v>
      </c>
      <c r="V59" s="1">
        <f t="shared" si="75"/>
        <v>1.4185724231496339</v>
      </c>
      <c r="W59" s="1">
        <f t="shared" si="86"/>
        <v>4.1290278695349514</v>
      </c>
      <c r="X59" s="1" t="s">
        <v>2</v>
      </c>
      <c r="Y59" s="1">
        <f t="shared" si="76"/>
        <v>1.3677176652608589</v>
      </c>
      <c r="Z59" s="1">
        <f t="shared" si="87"/>
        <v>-5.5678699584023068</v>
      </c>
      <c r="AA59" s="1" t="s">
        <v>2</v>
      </c>
      <c r="AB59" s="1">
        <f t="shared" si="88"/>
        <v>1.4847680121749589</v>
      </c>
      <c r="AC59" s="1">
        <f t="shared" si="89"/>
        <v>-0.6812094440116212</v>
      </c>
      <c r="AD59" s="1" t="s">
        <v>2</v>
      </c>
      <c r="AE59" s="1">
        <f t="shared" si="77"/>
        <v>1.5159382014748586</v>
      </c>
      <c r="AF59" s="1">
        <f t="shared" si="90"/>
        <v>3.2617792076913279</v>
      </c>
      <c r="AG59" s="1" t="s">
        <v>2</v>
      </c>
      <c r="AH59" s="1">
        <f t="shared" si="91"/>
        <v>1.4092904152827712</v>
      </c>
      <c r="AI59" s="14">
        <f t="shared" si="92"/>
        <v>0.29161693199530703</v>
      </c>
      <c r="AJ59" s="14" t="s">
        <v>2</v>
      </c>
      <c r="AK59" s="14">
        <f t="shared" si="78"/>
        <v>1.4900128959147301</v>
      </c>
      <c r="AL59" s="11">
        <f t="shared" si="93"/>
        <v>-0.98288988251922971</v>
      </c>
      <c r="AM59" s="12" t="s">
        <v>2</v>
      </c>
      <c r="AN59" s="11">
        <f t="shared" si="94"/>
        <v>1.9007670948977147</v>
      </c>
    </row>
    <row r="60" spans="1:41" x14ac:dyDescent="0.2">
      <c r="A60" t="s">
        <v>76</v>
      </c>
      <c r="B60" s="106">
        <f t="shared" si="79"/>
        <v>-1.2908925485426437</v>
      </c>
      <c r="C60" s="106" t="s">
        <v>2</v>
      </c>
      <c r="D60" s="106">
        <f t="shared" si="71"/>
        <v>1.666190076860939</v>
      </c>
      <c r="E60" s="106">
        <f t="shared" si="80"/>
        <v>2.5781485777828266</v>
      </c>
      <c r="F60" s="106" t="s">
        <v>2</v>
      </c>
      <c r="G60" s="106">
        <f t="shared" si="72"/>
        <v>1.2481118349180325</v>
      </c>
      <c r="H60" s="11">
        <f t="shared" si="81"/>
        <v>-2.1390356812305611E-2</v>
      </c>
      <c r="I60" s="12" t="s">
        <v>2</v>
      </c>
      <c r="J60" s="11">
        <f t="shared" si="82"/>
        <v>1.9345205631627351</v>
      </c>
      <c r="N60" s="1">
        <f t="shared" si="83"/>
        <v>1.1261229359883487</v>
      </c>
      <c r="O60" s="1" t="s">
        <v>2</v>
      </c>
      <c r="P60" s="1">
        <f t="shared" si="73"/>
        <v>1.5210049982822631</v>
      </c>
      <c r="Q60" s="1">
        <f t="shared" si="84"/>
        <v>1.5789308412250662</v>
      </c>
      <c r="R60" s="1" t="s">
        <v>2</v>
      </c>
      <c r="S60" s="1">
        <f t="shared" si="74"/>
        <v>1.7177504881345531</v>
      </c>
      <c r="T60" s="1">
        <f t="shared" si="85"/>
        <v>-0.22377296259301716</v>
      </c>
      <c r="U60" s="1" t="s">
        <v>2</v>
      </c>
      <c r="V60" s="1">
        <f t="shared" si="75"/>
        <v>1.4342277643475319</v>
      </c>
      <c r="W60" s="1">
        <f t="shared" si="86"/>
        <v>-5.4240587124720889</v>
      </c>
      <c r="X60" s="1" t="s">
        <v>2</v>
      </c>
      <c r="Y60" s="1">
        <f t="shared" si="76"/>
        <v>1.3657487833542972</v>
      </c>
      <c r="Z60" s="1">
        <f t="shared" si="87"/>
        <v>8.7253483952427509</v>
      </c>
      <c r="AA60" s="1" t="s">
        <v>2</v>
      </c>
      <c r="AB60" s="1">
        <f t="shared" si="88"/>
        <v>1.501867320149745</v>
      </c>
      <c r="AC60" s="1">
        <f t="shared" si="89"/>
        <v>-0.4104638673106944</v>
      </c>
      <c r="AD60" s="1" t="s">
        <v>2</v>
      </c>
      <c r="AE60" s="1">
        <f t="shared" si="77"/>
        <v>1.2505945702285295</v>
      </c>
      <c r="AF60" s="1">
        <f t="shared" si="90"/>
        <v>-1.8470325306978452</v>
      </c>
      <c r="AG60" s="1" t="s">
        <v>2</v>
      </c>
      <c r="AH60" s="1">
        <f t="shared" si="91"/>
        <v>1.4769243568920456</v>
      </c>
      <c r="AI60" s="14">
        <f t="shared" si="92"/>
        <v>-4.125055033222246</v>
      </c>
      <c r="AJ60" s="14" t="s">
        <v>2</v>
      </c>
      <c r="AK60" s="14">
        <f t="shared" si="78"/>
        <v>1.4783911717728981</v>
      </c>
      <c r="AL60" s="11">
        <f t="shared" si="93"/>
        <v>-1.5169260610815767</v>
      </c>
      <c r="AM60" s="12" t="s">
        <v>2</v>
      </c>
      <c r="AN60" s="11">
        <f t="shared" si="94"/>
        <v>1.1542860581167365</v>
      </c>
    </row>
    <row r="63" spans="1:41" x14ac:dyDescent="0.2">
      <c r="F63" t="s">
        <v>114</v>
      </c>
      <c r="H63" s="72">
        <f>H48-AL48</f>
        <v>-3.4756776867141035</v>
      </c>
      <c r="I63" s="5" t="s">
        <v>2</v>
      </c>
      <c r="J63" s="72">
        <f>SQRT(J48^2+AN482)</f>
        <v>0.37168022325255456</v>
      </c>
    </row>
  </sheetData>
  <mergeCells count="50">
    <mergeCell ref="DL4:DN4"/>
    <mergeCell ref="CE4:CG4"/>
    <mergeCell ref="DI4:DK4"/>
    <mergeCell ref="CZ4:DB4"/>
    <mergeCell ref="DC4:DE4"/>
    <mergeCell ref="DF4:DH4"/>
    <mergeCell ref="CW4:CY4"/>
    <mergeCell ref="CT4:CV4"/>
    <mergeCell ref="CQ4:CS4"/>
    <mergeCell ref="CN4:CP4"/>
    <mergeCell ref="CH4:CJ4"/>
    <mergeCell ref="CK4:CM4"/>
    <mergeCell ref="BV4:BX4"/>
    <mergeCell ref="BY4:CA4"/>
    <mergeCell ref="CB4:CD4"/>
    <mergeCell ref="AI35:AK35"/>
    <mergeCell ref="AL35:AN35"/>
    <mergeCell ref="BA4:BC4"/>
    <mergeCell ref="BD4:BF4"/>
    <mergeCell ref="BG4:BI4"/>
    <mergeCell ref="BP4:BR4"/>
    <mergeCell ref="BS4:BU4"/>
    <mergeCell ref="BJ4:BL4"/>
    <mergeCell ref="BM4:BO4"/>
    <mergeCell ref="W4:Y4"/>
    <mergeCell ref="Z4:AB4"/>
    <mergeCell ref="AX4:AZ4"/>
    <mergeCell ref="AF4:AH4"/>
    <mergeCell ref="W35:Y35"/>
    <mergeCell ref="Z35:AB35"/>
    <mergeCell ref="AC35:AE35"/>
    <mergeCell ref="AF35:AH35"/>
    <mergeCell ref="AI4:AK4"/>
    <mergeCell ref="AL4:AN4"/>
    <mergeCell ref="AO4:AQ4"/>
    <mergeCell ref="AR4:AT4"/>
    <mergeCell ref="AU4:AW4"/>
    <mergeCell ref="T4:V4"/>
    <mergeCell ref="Q4:S4"/>
    <mergeCell ref="B35:D35"/>
    <mergeCell ref="E35:G35"/>
    <mergeCell ref="H35:J35"/>
    <mergeCell ref="N35:P35"/>
    <mergeCell ref="Q35:S35"/>
    <mergeCell ref="T35:V35"/>
    <mergeCell ref="B4:D4"/>
    <mergeCell ref="N4:P4"/>
    <mergeCell ref="E4:G4"/>
    <mergeCell ref="H4:J4"/>
    <mergeCell ref="K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workbookViewId="0">
      <selection activeCell="B2" sqref="B2:Q30"/>
    </sheetView>
  </sheetViews>
  <sheetFormatPr baseColWidth="10" defaultRowHeight="16" x14ac:dyDescent="0.2"/>
  <cols>
    <col min="2" max="2" width="8.6640625" customWidth="1"/>
    <col min="3" max="3" width="6.33203125" style="139" customWidth="1"/>
    <col min="4" max="4" width="3.1640625" style="52" customWidth="1"/>
    <col min="5" max="5" width="5.33203125" style="52" customWidth="1"/>
    <col min="6" max="6" width="6.6640625" style="52" customWidth="1"/>
    <col min="7" max="7" width="3.1640625" style="52" customWidth="1"/>
    <col min="8" max="8" width="6" style="52" customWidth="1"/>
    <col min="9" max="9" width="4.33203125" customWidth="1"/>
    <col min="10" max="10" width="3.1640625" customWidth="1"/>
    <col min="11" max="11" width="4.33203125" customWidth="1"/>
    <col min="12" max="12" width="7" style="7" customWidth="1"/>
    <col min="13" max="13" width="3.1640625" style="15" customWidth="1"/>
    <col min="14" max="14" width="5.83203125" style="7" customWidth="1"/>
    <col min="15" max="15" width="5.5" customWidth="1"/>
    <col min="16" max="16" width="3.1640625" customWidth="1"/>
    <col min="17" max="17" width="5.33203125" customWidth="1"/>
  </cols>
  <sheetData>
    <row r="2" spans="2:17" x14ac:dyDescent="0.2">
      <c r="B2" s="240">
        <v>774</v>
      </c>
      <c r="C2" s="241"/>
      <c r="D2" s="241"/>
      <c r="E2" s="241"/>
      <c r="F2" s="241"/>
      <c r="G2" s="241"/>
      <c r="H2" s="241"/>
      <c r="I2" s="241"/>
      <c r="J2" s="241"/>
      <c r="K2" s="241"/>
      <c r="L2" s="241"/>
      <c r="M2" s="241"/>
      <c r="N2" s="241"/>
      <c r="O2" s="241"/>
      <c r="P2" s="241"/>
      <c r="Q2" s="242"/>
    </row>
    <row r="3" spans="2:17" x14ac:dyDescent="0.2">
      <c r="B3" s="243"/>
      <c r="C3" s="244"/>
      <c r="D3" s="244"/>
      <c r="E3" s="244"/>
      <c r="F3" s="244"/>
      <c r="G3" s="244"/>
      <c r="H3" s="244"/>
      <c r="I3" s="244"/>
      <c r="J3" s="244"/>
      <c r="K3" s="244"/>
      <c r="L3" s="244"/>
      <c r="M3" s="244"/>
      <c r="N3" s="244"/>
      <c r="O3" s="244"/>
      <c r="P3" s="244"/>
      <c r="Q3" s="245"/>
    </row>
    <row r="4" spans="2:17" x14ac:dyDescent="0.2">
      <c r="B4" s="79"/>
      <c r="C4" s="136"/>
      <c r="D4" s="122"/>
      <c r="E4" s="122"/>
      <c r="F4" s="122"/>
      <c r="G4" s="122"/>
      <c r="H4" s="122"/>
      <c r="I4" s="73"/>
      <c r="J4" s="73"/>
      <c r="K4" s="73"/>
      <c r="L4" s="113"/>
      <c r="M4" s="114"/>
      <c r="N4" s="113"/>
      <c r="O4" s="73"/>
      <c r="P4" s="73"/>
      <c r="Q4" s="80"/>
    </row>
    <row r="5" spans="2:17" x14ac:dyDescent="0.2">
      <c r="B5" s="81"/>
      <c r="C5" s="234" t="s">
        <v>117</v>
      </c>
      <c r="D5" s="234"/>
      <c r="E5" s="234"/>
      <c r="F5" s="231" t="s">
        <v>93</v>
      </c>
      <c r="G5" s="231"/>
      <c r="H5" s="231"/>
      <c r="I5" s="236" t="s">
        <v>92</v>
      </c>
      <c r="J5" s="236"/>
      <c r="K5" s="236"/>
      <c r="L5" s="232" t="s">
        <v>94</v>
      </c>
      <c r="M5" s="232"/>
      <c r="N5" s="232"/>
      <c r="O5" s="241" t="s">
        <v>113</v>
      </c>
      <c r="P5" s="241"/>
      <c r="Q5" s="242"/>
    </row>
    <row r="6" spans="2:17" x14ac:dyDescent="0.2">
      <c r="B6" s="82"/>
      <c r="C6" s="235" t="s">
        <v>91</v>
      </c>
      <c r="D6" s="235"/>
      <c r="E6" s="235"/>
      <c r="F6" s="248" t="s">
        <v>126</v>
      </c>
      <c r="G6" s="248"/>
      <c r="H6" s="248"/>
      <c r="I6" s="237" t="s">
        <v>91</v>
      </c>
      <c r="J6" s="237"/>
      <c r="K6" s="237"/>
      <c r="L6" s="233" t="s">
        <v>95</v>
      </c>
      <c r="M6" s="233"/>
      <c r="N6" s="233"/>
      <c r="O6" s="238" t="s">
        <v>95</v>
      </c>
      <c r="P6" s="238"/>
      <c r="Q6" s="239"/>
    </row>
    <row r="7" spans="2:17" x14ac:dyDescent="0.2">
      <c r="B7" s="79" t="s">
        <v>87</v>
      </c>
      <c r="C7" s="137">
        <v>15.58</v>
      </c>
      <c r="D7" s="124" t="s">
        <v>2</v>
      </c>
      <c r="E7" s="123">
        <v>0.54</v>
      </c>
      <c r="F7" s="234">
        <v>103.4</v>
      </c>
      <c r="G7" s="124" t="s">
        <v>115</v>
      </c>
      <c r="H7" s="125">
        <f>F7*1.75/42</f>
        <v>4.3083333333333336</v>
      </c>
      <c r="I7" s="74">
        <f>'D14C zones (774 only)'!M17</f>
        <v>15.894362289420577</v>
      </c>
      <c r="J7" s="75" t="s">
        <v>2</v>
      </c>
      <c r="K7" s="76">
        <f>'D14C zones (774 only)'!O17</f>
        <v>0.70682221808222867</v>
      </c>
      <c r="L7" s="115">
        <f>'D14C individuals'!DL17</f>
        <v>-10.468429691131547</v>
      </c>
      <c r="M7" s="116" t="s">
        <v>2</v>
      </c>
      <c r="N7" s="117">
        <f>'D14C individuals'!DO17</f>
        <v>0.3649248374958548</v>
      </c>
      <c r="O7" s="73" t="s">
        <v>112</v>
      </c>
      <c r="P7" s="75"/>
      <c r="Q7" s="80" t="s">
        <v>112</v>
      </c>
    </row>
    <row r="8" spans="2:17" x14ac:dyDescent="0.2">
      <c r="B8" s="82"/>
      <c r="C8" s="138"/>
      <c r="D8" s="127"/>
      <c r="E8" s="126"/>
      <c r="F8" s="235"/>
      <c r="G8" s="128" t="s">
        <v>116</v>
      </c>
      <c r="H8" s="127">
        <f>F7*1.25/42</f>
        <v>3.0773809523809526</v>
      </c>
      <c r="I8" s="65"/>
      <c r="J8" s="66"/>
      <c r="K8" s="67"/>
      <c r="L8" s="118"/>
      <c r="M8" s="119"/>
      <c r="N8" s="120"/>
      <c r="O8" s="64"/>
      <c r="P8" s="66"/>
      <c r="Q8" s="83"/>
    </row>
    <row r="9" spans="2:17" x14ac:dyDescent="0.2">
      <c r="B9" s="79" t="s">
        <v>49</v>
      </c>
      <c r="C9" s="137">
        <v>15.2</v>
      </c>
      <c r="D9" s="124" t="s">
        <v>2</v>
      </c>
      <c r="E9" s="123">
        <v>1.08</v>
      </c>
      <c r="F9" s="246">
        <v>100.9</v>
      </c>
      <c r="G9" s="129" t="s">
        <v>115</v>
      </c>
      <c r="H9" s="130">
        <f>F9*3.75/41</f>
        <v>9.2286585365853657</v>
      </c>
      <c r="I9" s="74">
        <f>'D14C zones (774 only)'!V17</f>
        <v>16.83447346879311</v>
      </c>
      <c r="J9" s="75" t="s">
        <v>2</v>
      </c>
      <c r="K9" s="76">
        <f>'D14C zones (774 only)'!X17</f>
        <v>0.47497360410516559</v>
      </c>
      <c r="L9" s="115">
        <f>'D14C individuals'!CN31</f>
        <v>-8.8714438753547444</v>
      </c>
      <c r="M9" s="114" t="str">
        <f>'D14C zones (774 only)'!N16</f>
        <v>±</v>
      </c>
      <c r="N9" s="117">
        <f>'D14C individuals'!CP31</f>
        <v>0.5480997261625018</v>
      </c>
      <c r="O9" s="77">
        <f>L9-L$7</f>
        <v>1.5969858157768027</v>
      </c>
      <c r="P9" s="78" t="s">
        <v>2</v>
      </c>
      <c r="Q9" s="88">
        <f>SQRT(N$7^2+N9^2)</f>
        <v>0.65847053604605987</v>
      </c>
    </row>
    <row r="10" spans="2:17" x14ac:dyDescent="0.2">
      <c r="B10" s="82"/>
      <c r="C10" s="138"/>
      <c r="D10" s="127"/>
      <c r="E10" s="126"/>
      <c r="F10" s="247"/>
      <c r="G10" s="131" t="s">
        <v>116</v>
      </c>
      <c r="H10" s="132">
        <f>F9*3/41</f>
        <v>7.3829268292682935</v>
      </c>
      <c r="I10" s="65"/>
      <c r="J10" s="66"/>
      <c r="K10" s="67"/>
      <c r="L10" s="118"/>
      <c r="M10" s="121"/>
      <c r="N10" s="120"/>
      <c r="O10" s="68"/>
      <c r="P10" s="71"/>
      <c r="Q10" s="89"/>
    </row>
    <row r="11" spans="2:17" x14ac:dyDescent="0.2">
      <c r="B11" s="79" t="s">
        <v>50</v>
      </c>
      <c r="C11" s="137">
        <v>16.34</v>
      </c>
      <c r="D11" s="124" t="s">
        <v>2</v>
      </c>
      <c r="E11" s="123">
        <v>0.71</v>
      </c>
      <c r="F11" s="246">
        <v>108.4</v>
      </c>
      <c r="G11" s="129" t="s">
        <v>115</v>
      </c>
      <c r="H11" s="130">
        <f>F11*2.75/44</f>
        <v>6.7750000000000004</v>
      </c>
      <c r="I11" s="74">
        <f>'D14C zones (774 only)'!AE17</f>
        <v>14.386341083616333</v>
      </c>
      <c r="J11" s="75" t="s">
        <v>2</v>
      </c>
      <c r="K11" s="76">
        <f>'D14C zones (774 only)'!AG17</f>
        <v>0.60968625382651309</v>
      </c>
      <c r="L11" s="115">
        <f>'D14C individuals'!AX31</f>
        <v>-10.667023571980264</v>
      </c>
      <c r="M11" s="114" t="str">
        <f>'D14C zones (774 only)'!W16</f>
        <v>±</v>
      </c>
      <c r="N11" s="117">
        <f>'D14C individuals'!AZ31</f>
        <v>0.37511432509188941</v>
      </c>
      <c r="O11" s="77">
        <f>L11-L$7</f>
        <v>-0.19859388084871732</v>
      </c>
      <c r="P11" s="78" t="s">
        <v>2</v>
      </c>
      <c r="Q11" s="88">
        <f>SQRT(N$7^2+N11^2)</f>
        <v>0.52333631052175211</v>
      </c>
    </row>
    <row r="12" spans="2:17" x14ac:dyDescent="0.2">
      <c r="B12" s="82"/>
      <c r="C12" s="138"/>
      <c r="D12" s="127"/>
      <c r="E12" s="126"/>
      <c r="F12" s="247"/>
      <c r="G12" s="131" t="s">
        <v>116</v>
      </c>
      <c r="H12" s="132">
        <f>F11*2/44</f>
        <v>4.9272727272727277</v>
      </c>
      <c r="I12" s="65"/>
      <c r="J12" s="66"/>
      <c r="K12" s="67"/>
      <c r="L12" s="118"/>
      <c r="M12" s="121"/>
      <c r="N12" s="120"/>
      <c r="O12" s="68"/>
      <c r="P12" s="71"/>
      <c r="Q12" s="89"/>
    </row>
    <row r="13" spans="2:17" x14ac:dyDescent="0.2">
      <c r="B13" s="79" t="s">
        <v>51</v>
      </c>
      <c r="C13" s="137">
        <v>14.06</v>
      </c>
      <c r="D13" s="124" t="s">
        <v>2</v>
      </c>
      <c r="E13" s="123">
        <v>0.87</v>
      </c>
      <c r="F13" s="246">
        <v>93.3</v>
      </c>
      <c r="G13" s="129" t="s">
        <v>115</v>
      </c>
      <c r="H13" s="130">
        <f>F13*3.25/38</f>
        <v>7.979605263157894</v>
      </c>
      <c r="I13" s="74">
        <f>'D14C zones (774 only)'!AN17</f>
        <v>14.5783858453068</v>
      </c>
      <c r="J13" s="75" t="s">
        <v>2</v>
      </c>
      <c r="K13" s="76">
        <f>'D14C zones (774 only)'!AP17</f>
        <v>0.58965870637087692</v>
      </c>
      <c r="L13" s="115">
        <f>'D14C individuals'!AF31</f>
        <v>-11.691722531553781</v>
      </c>
      <c r="M13" s="114" t="str">
        <f>'D14C zones (774 only)'!AF16</f>
        <v>±</v>
      </c>
      <c r="N13" s="117">
        <f>'D14C individuals'!AH31</f>
        <v>0.50753296303096551</v>
      </c>
      <c r="O13" s="77">
        <f>L13-L$7</f>
        <v>-1.2232928404222339</v>
      </c>
      <c r="P13" s="78" t="s">
        <v>2</v>
      </c>
      <c r="Q13" s="88">
        <f>SQRT(N$7^2+N13^2)</f>
        <v>0.62510786715923472</v>
      </c>
    </row>
    <row r="14" spans="2:17" x14ac:dyDescent="0.2">
      <c r="B14" s="82"/>
      <c r="C14" s="138"/>
      <c r="D14" s="124"/>
      <c r="E14" s="126"/>
      <c r="F14" s="247"/>
      <c r="G14" s="131" t="s">
        <v>116</v>
      </c>
      <c r="H14" s="132">
        <f>F13*2.25/38</f>
        <v>5.5243421052631572</v>
      </c>
      <c r="I14" s="65"/>
      <c r="J14" s="66"/>
      <c r="K14" s="67"/>
      <c r="L14" s="118"/>
      <c r="M14" s="121"/>
      <c r="N14" s="120"/>
      <c r="O14" s="68"/>
      <c r="P14" s="71"/>
      <c r="Q14" s="89"/>
    </row>
    <row r="15" spans="2:17" x14ac:dyDescent="0.2">
      <c r="B15" s="79" t="s">
        <v>119</v>
      </c>
      <c r="C15" s="137">
        <v>14.01</v>
      </c>
      <c r="D15" s="133" t="s">
        <v>2</v>
      </c>
      <c r="E15" s="123">
        <v>0.75</v>
      </c>
      <c r="F15" s="246">
        <v>88.3</v>
      </c>
      <c r="G15" s="129" t="s">
        <v>115</v>
      </c>
      <c r="H15" s="130">
        <f>F15*2.25/36</f>
        <v>5.5187499999999998</v>
      </c>
      <c r="I15" s="74">
        <f>'D14C zones (774 only)'!AN17</f>
        <v>14.5783858453068</v>
      </c>
      <c r="J15" s="75" t="s">
        <v>2</v>
      </c>
      <c r="K15" s="76">
        <f>'D14C zones (774 only)'!AP17</f>
        <v>0.58965870637087692</v>
      </c>
      <c r="L15" s="115">
        <f>'D14C zones (774 only)'!AN16</f>
        <v>-14.506364347937234</v>
      </c>
      <c r="M15" s="114" t="str">
        <f>'D14C zones (774 only)'!AO16</f>
        <v>±</v>
      </c>
      <c r="N15" s="117">
        <f>'D14C zones (774 only)'!AP16</f>
        <v>0.2154651936053559</v>
      </c>
      <c r="O15" s="77">
        <f>L15-L$7</f>
        <v>-4.0379346568056871</v>
      </c>
      <c r="P15" s="78" t="s">
        <v>2</v>
      </c>
      <c r="Q15" s="88">
        <f>SQRT(N$7^2+N15^2)</f>
        <v>0.42378695906878677</v>
      </c>
    </row>
    <row r="16" spans="2:17" x14ac:dyDescent="0.2">
      <c r="B16" s="82"/>
      <c r="C16" s="138"/>
      <c r="D16" s="127"/>
      <c r="E16" s="126"/>
      <c r="F16" s="247"/>
      <c r="G16" s="131" t="s">
        <v>116</v>
      </c>
      <c r="H16" s="132">
        <f>F15*2.5/36</f>
        <v>6.1319444444444446</v>
      </c>
      <c r="I16" s="65"/>
      <c r="J16" s="66"/>
      <c r="K16" s="67"/>
      <c r="L16" s="118"/>
      <c r="M16" s="121"/>
      <c r="N16" s="120"/>
      <c r="O16" s="68"/>
      <c r="P16" s="71"/>
      <c r="Q16" s="89"/>
    </row>
    <row r="18" spans="2:17" x14ac:dyDescent="0.2">
      <c r="B18" s="240">
        <v>993</v>
      </c>
      <c r="C18" s="241"/>
      <c r="D18" s="241"/>
      <c r="E18" s="241"/>
      <c r="F18" s="241"/>
      <c r="G18" s="241"/>
      <c r="H18" s="241"/>
      <c r="I18" s="241"/>
      <c r="J18" s="241"/>
      <c r="K18" s="241"/>
      <c r="L18" s="241"/>
      <c r="M18" s="241"/>
      <c r="N18" s="241"/>
      <c r="O18" s="241"/>
      <c r="P18" s="241"/>
      <c r="Q18" s="242"/>
    </row>
    <row r="19" spans="2:17" x14ac:dyDescent="0.2">
      <c r="B19" s="243"/>
      <c r="C19" s="244"/>
      <c r="D19" s="244"/>
      <c r="E19" s="244"/>
      <c r="F19" s="244"/>
      <c r="G19" s="244"/>
      <c r="H19" s="244"/>
      <c r="I19" s="244"/>
      <c r="J19" s="244"/>
      <c r="K19" s="244"/>
      <c r="L19" s="244"/>
      <c r="M19" s="244"/>
      <c r="N19" s="244"/>
      <c r="O19" s="244"/>
      <c r="P19" s="244"/>
      <c r="Q19" s="245"/>
    </row>
    <row r="20" spans="2:17" x14ac:dyDescent="0.2">
      <c r="B20" s="79"/>
      <c r="C20" s="136"/>
      <c r="D20" s="122"/>
      <c r="E20" s="122"/>
      <c r="F20" s="122"/>
      <c r="G20" s="122"/>
      <c r="H20" s="122"/>
      <c r="I20" s="73"/>
      <c r="J20" s="73"/>
      <c r="K20" s="73"/>
      <c r="L20" s="113"/>
      <c r="M20" s="114"/>
      <c r="N20" s="113"/>
      <c r="O20" s="73"/>
      <c r="P20" s="73"/>
      <c r="Q20" s="80"/>
    </row>
    <row r="21" spans="2:17" x14ac:dyDescent="0.2">
      <c r="B21" s="81"/>
      <c r="C21" s="234" t="s">
        <v>117</v>
      </c>
      <c r="D21" s="234"/>
      <c r="E21" s="234"/>
      <c r="F21" s="231" t="s">
        <v>93</v>
      </c>
      <c r="G21" s="231"/>
      <c r="H21" s="231"/>
      <c r="I21" s="236" t="s">
        <v>92</v>
      </c>
      <c r="J21" s="236"/>
      <c r="K21" s="236"/>
      <c r="L21" s="232" t="s">
        <v>94</v>
      </c>
      <c r="M21" s="232"/>
      <c r="N21" s="232"/>
      <c r="O21" s="241" t="s">
        <v>113</v>
      </c>
      <c r="P21" s="241"/>
      <c r="Q21" s="242"/>
    </row>
    <row r="22" spans="2:17" x14ac:dyDescent="0.2">
      <c r="B22" s="82"/>
      <c r="C22" s="235" t="s">
        <v>91</v>
      </c>
      <c r="D22" s="235"/>
      <c r="E22" s="235"/>
      <c r="F22" s="248" t="s">
        <v>127</v>
      </c>
      <c r="G22" s="248"/>
      <c r="H22" s="248"/>
      <c r="I22" s="237" t="s">
        <v>91</v>
      </c>
      <c r="J22" s="237"/>
      <c r="K22" s="237"/>
      <c r="L22" s="233" t="s">
        <v>95</v>
      </c>
      <c r="M22" s="233"/>
      <c r="N22" s="233"/>
      <c r="O22" s="238" t="s">
        <v>95</v>
      </c>
      <c r="P22" s="238"/>
      <c r="Q22" s="239"/>
    </row>
    <row r="23" spans="2:17" x14ac:dyDescent="0.2">
      <c r="B23" s="79" t="s">
        <v>118</v>
      </c>
      <c r="C23" s="137">
        <v>8.51</v>
      </c>
      <c r="D23" s="124" t="s">
        <v>2</v>
      </c>
      <c r="E23" s="123">
        <v>0.99</v>
      </c>
      <c r="F23" s="234">
        <v>55.5</v>
      </c>
      <c r="G23" s="124" t="s">
        <v>115</v>
      </c>
      <c r="H23" s="123">
        <f>F23*3/23</f>
        <v>7.2391304347826084</v>
      </c>
      <c r="I23" s="74">
        <f>'D14C individuals'!AL49</f>
        <v>9.0052281572780011</v>
      </c>
      <c r="J23" s="75" t="s">
        <v>2</v>
      </c>
      <c r="K23" s="76">
        <f>'D14C individuals'!AN49</f>
        <v>0.56613325406053394</v>
      </c>
      <c r="L23" s="115">
        <f>'D14C individuals'!AL48</f>
        <v>-14.015468303675373</v>
      </c>
      <c r="M23" s="116" t="s">
        <v>2</v>
      </c>
      <c r="N23" s="117">
        <f>'D14C individuals'!AO48</f>
        <v>0.52739481239860642</v>
      </c>
      <c r="O23" s="73" t="s">
        <v>112</v>
      </c>
      <c r="P23" s="75"/>
      <c r="Q23" s="80" t="s">
        <v>112</v>
      </c>
    </row>
    <row r="24" spans="2:17" x14ac:dyDescent="0.2">
      <c r="B24" s="82"/>
      <c r="C24" s="138"/>
      <c r="D24" s="127"/>
      <c r="E24" s="126"/>
      <c r="F24" s="235"/>
      <c r="G24" s="128" t="s">
        <v>116</v>
      </c>
      <c r="H24" s="126">
        <f>F23*2.5/23</f>
        <v>6.0326086956521738</v>
      </c>
      <c r="I24" s="65"/>
      <c r="J24" s="66"/>
      <c r="K24" s="67"/>
      <c r="L24" s="118"/>
      <c r="M24" s="119"/>
      <c r="N24" s="120"/>
      <c r="O24" s="64"/>
      <c r="P24" s="66"/>
      <c r="Q24" s="83"/>
    </row>
    <row r="25" spans="2:17" x14ac:dyDescent="0.2">
      <c r="B25" s="79" t="s">
        <v>119</v>
      </c>
      <c r="C25" s="137">
        <v>8.52</v>
      </c>
      <c r="D25" s="124" t="s">
        <v>2</v>
      </c>
      <c r="E25" s="123">
        <v>1.51</v>
      </c>
      <c r="F25" s="249">
        <v>53</v>
      </c>
      <c r="G25" s="129" t="s">
        <v>115</v>
      </c>
      <c r="H25" s="134">
        <f>F25*4.5/22</f>
        <v>10.840909090909092</v>
      </c>
      <c r="I25" s="74">
        <f>'D14C individuals'!H49</f>
        <v>8.7918115746492536</v>
      </c>
      <c r="J25" s="75" t="s">
        <v>2</v>
      </c>
      <c r="K25" s="76">
        <f>'D14C individuals'!J49</f>
        <v>0.98463277041027863</v>
      </c>
      <c r="L25" s="115">
        <f>'D14C individuals'!H48</f>
        <v>-17.491145990389477</v>
      </c>
      <c r="M25" s="114">
        <f>'D14C zones (774 only)'!AO36</f>
        <v>0</v>
      </c>
      <c r="N25" s="117">
        <f>'D14C individuals'!K48</f>
        <v>0.5496857823784822</v>
      </c>
      <c r="O25" s="77">
        <f>L25-L$23</f>
        <v>-3.4756776867141035</v>
      </c>
      <c r="P25" s="78" t="s">
        <v>2</v>
      </c>
      <c r="Q25" s="84">
        <f>SQRT(N$23^2+N25^2)</f>
        <v>0.76177407903787675</v>
      </c>
    </row>
    <row r="26" spans="2:17" x14ac:dyDescent="0.2">
      <c r="B26" s="82"/>
      <c r="C26" s="138"/>
      <c r="D26" s="127"/>
      <c r="E26" s="126"/>
      <c r="F26" s="247"/>
      <c r="G26" s="131" t="s">
        <v>116</v>
      </c>
      <c r="H26" s="135">
        <f>F25*3.5/22</f>
        <v>8.4318181818181817</v>
      </c>
      <c r="I26" s="65"/>
      <c r="J26" s="66"/>
      <c r="K26" s="67"/>
      <c r="L26" s="118"/>
      <c r="M26" s="121"/>
      <c r="N26" s="120"/>
      <c r="O26" s="68"/>
      <c r="P26" s="71"/>
      <c r="Q26" s="85"/>
    </row>
    <row r="28" spans="2:17" x14ac:dyDescent="0.2">
      <c r="B28" t="s">
        <v>96</v>
      </c>
    </row>
    <row r="29" spans="2:17" x14ac:dyDescent="0.2">
      <c r="B29" t="s">
        <v>97</v>
      </c>
    </row>
    <row r="30" spans="2:17" x14ac:dyDescent="0.2">
      <c r="B30" t="s">
        <v>111</v>
      </c>
    </row>
  </sheetData>
  <mergeCells count="29">
    <mergeCell ref="I21:K21"/>
    <mergeCell ref="I22:K22"/>
    <mergeCell ref="F23:F24"/>
    <mergeCell ref="F25:F26"/>
    <mergeCell ref="C22:E22"/>
    <mergeCell ref="F22:H22"/>
    <mergeCell ref="L22:N22"/>
    <mergeCell ref="O22:Q22"/>
    <mergeCell ref="B2:Q3"/>
    <mergeCell ref="B18:Q19"/>
    <mergeCell ref="C21:E21"/>
    <mergeCell ref="F21:H21"/>
    <mergeCell ref="L21:N21"/>
    <mergeCell ref="O21:Q21"/>
    <mergeCell ref="F7:F8"/>
    <mergeCell ref="F9:F10"/>
    <mergeCell ref="F11:F12"/>
    <mergeCell ref="F13:F14"/>
    <mergeCell ref="F15:F16"/>
    <mergeCell ref="O5:Q5"/>
    <mergeCell ref="O6:Q6"/>
    <mergeCell ref="F6:H6"/>
    <mergeCell ref="F5:H5"/>
    <mergeCell ref="L5:N5"/>
    <mergeCell ref="L6:N6"/>
    <mergeCell ref="C5:E5"/>
    <mergeCell ref="C6:E6"/>
    <mergeCell ref="I5:K5"/>
    <mergeCell ref="I6:K6"/>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K37" sqref="K37"/>
    </sheetView>
  </sheetViews>
  <sheetFormatPr baseColWidth="10" defaultRowHeight="16" x14ac:dyDescent="0.2"/>
  <cols>
    <col min="3" max="3" width="4" customWidth="1"/>
    <col min="8" max="8" width="3.1640625" customWidth="1"/>
  </cols>
  <sheetData>
    <row r="1" spans="1:9" ht="26" x14ac:dyDescent="0.3">
      <c r="A1" s="251" t="s">
        <v>215</v>
      </c>
      <c r="B1" s="251"/>
      <c r="C1" s="251"/>
      <c r="D1" s="251"/>
      <c r="E1" s="251"/>
      <c r="F1" s="251"/>
      <c r="G1" s="251"/>
      <c r="H1" s="251"/>
      <c r="I1" s="251"/>
    </row>
    <row r="2" spans="1:9" x14ac:dyDescent="0.2">
      <c r="A2" s="86"/>
      <c r="B2" s="86" t="s">
        <v>120</v>
      </c>
      <c r="C2" s="86"/>
      <c r="D2" s="86" t="s">
        <v>122</v>
      </c>
      <c r="E2" s="86"/>
      <c r="F2" s="86" t="s">
        <v>216</v>
      </c>
      <c r="G2" s="86" t="s">
        <v>121</v>
      </c>
      <c r="H2" s="86"/>
      <c r="I2" s="86" t="s">
        <v>123</v>
      </c>
    </row>
    <row r="3" spans="1:9" x14ac:dyDescent="0.2">
      <c r="A3" s="250">
        <v>774</v>
      </c>
      <c r="B3" s="250">
        <v>7</v>
      </c>
      <c r="C3" s="250" t="s">
        <v>115</v>
      </c>
      <c r="D3" s="250">
        <v>1</v>
      </c>
      <c r="E3" s="250" t="s">
        <v>49</v>
      </c>
      <c r="F3" s="250" t="s">
        <v>49</v>
      </c>
      <c r="G3" s="250">
        <v>41</v>
      </c>
      <c r="H3" s="87" t="s">
        <v>115</v>
      </c>
      <c r="I3" s="87">
        <v>3.75</v>
      </c>
    </row>
    <row r="4" spans="1:9" x14ac:dyDescent="0.2">
      <c r="A4" s="250"/>
      <c r="B4" s="250"/>
      <c r="C4" s="250"/>
      <c r="D4" s="250"/>
      <c r="E4" s="250"/>
      <c r="F4" s="250"/>
      <c r="G4" s="250"/>
      <c r="H4" s="87" t="s">
        <v>116</v>
      </c>
      <c r="I4" s="87">
        <v>3</v>
      </c>
    </row>
    <row r="5" spans="1:9" x14ac:dyDescent="0.2">
      <c r="A5" s="250"/>
      <c r="B5" s="250"/>
      <c r="C5" s="250"/>
      <c r="D5" s="250"/>
      <c r="E5" s="250"/>
      <c r="F5" s="250" t="s">
        <v>50</v>
      </c>
      <c r="G5" s="250">
        <v>41</v>
      </c>
      <c r="H5" s="87" t="s">
        <v>115</v>
      </c>
      <c r="I5" s="87">
        <v>3.75</v>
      </c>
    </row>
    <row r="6" spans="1:9" x14ac:dyDescent="0.2">
      <c r="A6" s="250"/>
      <c r="B6" s="250"/>
      <c r="C6" s="250"/>
      <c r="D6" s="250"/>
      <c r="E6" s="250"/>
      <c r="F6" s="250"/>
      <c r="G6" s="250"/>
      <c r="H6" s="87" t="s">
        <v>116</v>
      </c>
      <c r="I6" s="87">
        <v>3</v>
      </c>
    </row>
    <row r="7" spans="1:9" x14ac:dyDescent="0.2">
      <c r="A7" s="250"/>
      <c r="B7" s="250"/>
      <c r="C7" s="250"/>
      <c r="D7" s="250"/>
      <c r="E7" s="250" t="s">
        <v>50</v>
      </c>
      <c r="F7" s="250" t="s">
        <v>50</v>
      </c>
      <c r="G7" s="250">
        <v>44</v>
      </c>
      <c r="H7" s="87" t="s">
        <v>115</v>
      </c>
      <c r="I7" s="87">
        <v>2.75</v>
      </c>
    </row>
    <row r="8" spans="1:9" x14ac:dyDescent="0.2">
      <c r="A8" s="250"/>
      <c r="B8" s="250"/>
      <c r="C8" s="250"/>
      <c r="D8" s="250"/>
      <c r="E8" s="250"/>
      <c r="F8" s="250"/>
      <c r="G8" s="250"/>
      <c r="H8" s="87" t="s">
        <v>116</v>
      </c>
      <c r="I8" s="87">
        <v>2</v>
      </c>
    </row>
    <row r="9" spans="1:9" x14ac:dyDescent="0.2">
      <c r="A9" s="250"/>
      <c r="B9" s="250"/>
      <c r="C9" s="250"/>
      <c r="D9" s="250"/>
      <c r="E9" s="250" t="s">
        <v>51</v>
      </c>
      <c r="F9" s="250" t="s">
        <v>50</v>
      </c>
      <c r="G9" s="250">
        <v>38</v>
      </c>
      <c r="H9" s="87" t="s">
        <v>115</v>
      </c>
      <c r="I9" s="87">
        <v>3.25</v>
      </c>
    </row>
    <row r="10" spans="1:9" x14ac:dyDescent="0.2">
      <c r="A10" s="250"/>
      <c r="B10" s="250"/>
      <c r="C10" s="250"/>
      <c r="D10" s="250"/>
      <c r="E10" s="250"/>
      <c r="F10" s="250"/>
      <c r="G10" s="250"/>
      <c r="H10" s="87" t="s">
        <v>116</v>
      </c>
      <c r="I10" s="87">
        <v>2.25</v>
      </c>
    </row>
    <row r="11" spans="1:9" x14ac:dyDescent="0.2">
      <c r="A11" s="250"/>
      <c r="B11" s="250"/>
      <c r="C11" s="250" t="s">
        <v>116</v>
      </c>
      <c r="D11" s="250">
        <v>0.25</v>
      </c>
      <c r="E11" s="250"/>
      <c r="F11" s="250" t="s">
        <v>51</v>
      </c>
      <c r="G11" s="250">
        <v>39</v>
      </c>
      <c r="H11" s="87" t="s">
        <v>115</v>
      </c>
      <c r="I11" s="87">
        <v>3</v>
      </c>
    </row>
    <row r="12" spans="1:9" x14ac:dyDescent="0.2">
      <c r="A12" s="250"/>
      <c r="B12" s="250"/>
      <c r="C12" s="250"/>
      <c r="D12" s="250"/>
      <c r="E12" s="250"/>
      <c r="F12" s="250"/>
      <c r="G12" s="250"/>
      <c r="H12" s="87" t="s">
        <v>116</v>
      </c>
      <c r="I12" s="87">
        <v>2.5</v>
      </c>
    </row>
    <row r="13" spans="1:9" x14ac:dyDescent="0.2">
      <c r="A13" s="250"/>
      <c r="B13" s="250"/>
      <c r="C13" s="250"/>
      <c r="D13" s="250"/>
      <c r="E13" s="250" t="s">
        <v>125</v>
      </c>
      <c r="F13" s="250" t="s">
        <v>49</v>
      </c>
      <c r="G13" s="250">
        <v>42</v>
      </c>
      <c r="H13" s="87" t="s">
        <v>115</v>
      </c>
      <c r="I13" s="87">
        <v>1.75</v>
      </c>
    </row>
    <row r="14" spans="1:9" x14ac:dyDescent="0.2">
      <c r="A14" s="250"/>
      <c r="B14" s="250"/>
      <c r="C14" s="250"/>
      <c r="D14" s="250"/>
      <c r="E14" s="250"/>
      <c r="F14" s="250"/>
      <c r="G14" s="250"/>
      <c r="H14" s="87" t="s">
        <v>116</v>
      </c>
      <c r="I14" s="87">
        <v>1.25</v>
      </c>
    </row>
    <row r="15" spans="1:9" x14ac:dyDescent="0.2">
      <c r="A15" s="250"/>
      <c r="B15" s="250"/>
      <c r="C15" s="250"/>
      <c r="D15" s="250"/>
      <c r="E15" s="250"/>
      <c r="F15" s="250" t="s">
        <v>50</v>
      </c>
      <c r="G15" s="250">
        <v>42</v>
      </c>
      <c r="H15" s="87" t="s">
        <v>115</v>
      </c>
      <c r="I15" s="87">
        <v>1.75</v>
      </c>
    </row>
    <row r="16" spans="1:9" x14ac:dyDescent="0.2">
      <c r="A16" s="250"/>
      <c r="B16" s="250"/>
      <c r="C16" s="250"/>
      <c r="D16" s="250"/>
      <c r="E16" s="250"/>
      <c r="F16" s="250"/>
      <c r="G16" s="250"/>
      <c r="H16" s="87" t="s">
        <v>116</v>
      </c>
      <c r="I16" s="87">
        <v>1.25</v>
      </c>
    </row>
    <row r="17" spans="1:9" x14ac:dyDescent="0.2">
      <c r="A17" s="250"/>
      <c r="B17" s="250"/>
      <c r="C17" s="250"/>
      <c r="D17" s="250"/>
      <c r="E17" s="250"/>
      <c r="F17" s="250" t="s">
        <v>51</v>
      </c>
      <c r="G17" s="250">
        <v>42</v>
      </c>
      <c r="H17" s="87" t="s">
        <v>115</v>
      </c>
      <c r="I17" s="87">
        <v>2</v>
      </c>
    </row>
    <row r="18" spans="1:9" x14ac:dyDescent="0.2">
      <c r="A18" s="250"/>
      <c r="B18" s="250"/>
      <c r="C18" s="250"/>
      <c r="D18" s="250"/>
      <c r="E18" s="250"/>
      <c r="F18" s="250"/>
      <c r="G18" s="250"/>
      <c r="H18" s="87" t="s">
        <v>116</v>
      </c>
      <c r="I18" s="87">
        <v>1.25</v>
      </c>
    </row>
    <row r="19" spans="1:9" x14ac:dyDescent="0.2">
      <c r="A19" s="250"/>
      <c r="B19" s="250"/>
      <c r="C19" s="250"/>
      <c r="D19" s="250"/>
      <c r="E19" s="250" t="s">
        <v>119</v>
      </c>
      <c r="F19" s="250" t="s">
        <v>50</v>
      </c>
      <c r="G19" s="250">
        <v>36</v>
      </c>
      <c r="H19" s="87" t="s">
        <v>115</v>
      </c>
      <c r="I19" s="87">
        <v>2.25</v>
      </c>
    </row>
    <row r="20" spans="1:9" x14ac:dyDescent="0.2">
      <c r="A20" s="250"/>
      <c r="B20" s="250"/>
      <c r="C20" s="250"/>
      <c r="D20" s="250"/>
      <c r="E20" s="250"/>
      <c r="F20" s="250"/>
      <c r="G20" s="250"/>
      <c r="H20" s="87" t="s">
        <v>116</v>
      </c>
      <c r="I20" s="87">
        <v>2.5</v>
      </c>
    </row>
    <row r="22" spans="1:9" x14ac:dyDescent="0.2">
      <c r="A22" s="86"/>
      <c r="B22" s="86" t="s">
        <v>120</v>
      </c>
      <c r="C22" s="86"/>
      <c r="D22" s="86" t="s">
        <v>122</v>
      </c>
      <c r="E22" s="86"/>
      <c r="F22" s="86" t="s">
        <v>124</v>
      </c>
      <c r="G22" s="86" t="s">
        <v>121</v>
      </c>
      <c r="H22" s="86"/>
      <c r="I22" s="86" t="s">
        <v>123</v>
      </c>
    </row>
    <row r="23" spans="1:9" x14ac:dyDescent="0.2">
      <c r="A23" s="250">
        <v>993</v>
      </c>
      <c r="B23" s="250">
        <v>5</v>
      </c>
      <c r="C23" s="250" t="s">
        <v>115</v>
      </c>
      <c r="D23" s="250">
        <v>1.5</v>
      </c>
      <c r="E23" s="250" t="s">
        <v>118</v>
      </c>
      <c r="F23" s="250" t="s">
        <v>50</v>
      </c>
      <c r="G23" s="250">
        <v>23</v>
      </c>
      <c r="H23" s="87" t="s">
        <v>115</v>
      </c>
      <c r="I23" s="87">
        <v>3</v>
      </c>
    </row>
    <row r="24" spans="1:9" x14ac:dyDescent="0.2">
      <c r="A24" s="250"/>
      <c r="B24" s="250"/>
      <c r="C24" s="250"/>
      <c r="D24" s="250"/>
      <c r="E24" s="250"/>
      <c r="F24" s="250"/>
      <c r="G24" s="250"/>
      <c r="H24" s="87" t="s">
        <v>116</v>
      </c>
      <c r="I24" s="87">
        <v>2.5</v>
      </c>
    </row>
    <row r="25" spans="1:9" x14ac:dyDescent="0.2">
      <c r="A25" s="250"/>
      <c r="B25" s="250"/>
      <c r="C25" s="250" t="s">
        <v>116</v>
      </c>
      <c r="D25" s="250">
        <v>3.25</v>
      </c>
      <c r="E25" s="250" t="s">
        <v>119</v>
      </c>
      <c r="F25" s="250" t="s">
        <v>50</v>
      </c>
      <c r="G25" s="250">
        <v>22</v>
      </c>
      <c r="H25" s="87" t="s">
        <v>115</v>
      </c>
      <c r="I25" s="87">
        <v>4.5</v>
      </c>
    </row>
    <row r="26" spans="1:9" x14ac:dyDescent="0.2">
      <c r="A26" s="250"/>
      <c r="B26" s="250"/>
      <c r="C26" s="250"/>
      <c r="D26" s="250"/>
      <c r="E26" s="250"/>
      <c r="F26" s="250"/>
      <c r="G26" s="250"/>
      <c r="H26" s="87" t="s">
        <v>116</v>
      </c>
      <c r="I26" s="87">
        <v>3.5</v>
      </c>
    </row>
    <row r="29" spans="1:9" x14ac:dyDescent="0.2">
      <c r="A29" t="s">
        <v>217</v>
      </c>
    </row>
    <row r="30" spans="1:9" x14ac:dyDescent="0.2">
      <c r="A30" t="s">
        <v>218</v>
      </c>
    </row>
    <row r="31" spans="1:9" x14ac:dyDescent="0.2">
      <c r="A31" t="s">
        <v>219</v>
      </c>
    </row>
    <row r="32" spans="1:9" x14ac:dyDescent="0.2">
      <c r="A32" t="s">
        <v>220</v>
      </c>
    </row>
  </sheetData>
  <mergeCells count="42">
    <mergeCell ref="A23:A26"/>
    <mergeCell ref="B23:B26"/>
    <mergeCell ref="C23:C24"/>
    <mergeCell ref="C25:C26"/>
    <mergeCell ref="D23:D24"/>
    <mergeCell ref="D25:D26"/>
    <mergeCell ref="G15:G16"/>
    <mergeCell ref="G17:G18"/>
    <mergeCell ref="G19:G20"/>
    <mergeCell ref="A1:I1"/>
    <mergeCell ref="E23:E24"/>
    <mergeCell ref="G3:G4"/>
    <mergeCell ref="G5:G6"/>
    <mergeCell ref="G7:G8"/>
    <mergeCell ref="G9:G10"/>
    <mergeCell ref="G11:G12"/>
    <mergeCell ref="G13:G14"/>
    <mergeCell ref="A3:A20"/>
    <mergeCell ref="B3:B20"/>
    <mergeCell ref="D3:D10"/>
    <mergeCell ref="D11:D20"/>
    <mergeCell ref="C3:C10"/>
    <mergeCell ref="E25:E26"/>
    <mergeCell ref="F23:F24"/>
    <mergeCell ref="F25:F26"/>
    <mergeCell ref="G23:G24"/>
    <mergeCell ref="G25:G26"/>
    <mergeCell ref="C11:C20"/>
    <mergeCell ref="E3:E6"/>
    <mergeCell ref="F13:F14"/>
    <mergeCell ref="F15:F16"/>
    <mergeCell ref="F17:F18"/>
    <mergeCell ref="F19:F20"/>
    <mergeCell ref="E13:E18"/>
    <mergeCell ref="E7:E8"/>
    <mergeCell ref="E19:E20"/>
    <mergeCell ref="F3:F4"/>
    <mergeCell ref="F5:F6"/>
    <mergeCell ref="F7:F8"/>
    <mergeCell ref="F9:F10"/>
    <mergeCell ref="F11:F12"/>
    <mergeCell ref="E9:E12"/>
  </mergeCells>
  <pageMargins left="0.7" right="0.7" top="0.78740157499999996" bottom="0.78740157499999996"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41"/>
  <sheetViews>
    <sheetView workbookViewId="0">
      <selection activeCell="P16" sqref="P16"/>
    </sheetView>
  </sheetViews>
  <sheetFormatPr baseColWidth="10" defaultRowHeight="16" x14ac:dyDescent="0.2"/>
  <cols>
    <col min="1" max="1" width="15.1640625" customWidth="1"/>
    <col min="2" max="2" width="9.1640625" customWidth="1"/>
    <col min="3" max="3" width="5.6640625" customWidth="1"/>
    <col min="4" max="4" width="8.33203125" customWidth="1"/>
    <col min="13" max="13" width="11.6640625" bestFit="1" customWidth="1"/>
    <col min="15" max="15" width="11.6640625" bestFit="1" customWidth="1"/>
    <col min="16" max="16" width="11" bestFit="1" customWidth="1"/>
    <col min="18" max="18" width="11" bestFit="1" customWidth="1"/>
    <col min="22" max="22" width="11.6640625" bestFit="1" customWidth="1"/>
    <col min="24" max="24" width="11.6640625" bestFit="1" customWidth="1"/>
    <col min="25" max="25" width="11" bestFit="1" customWidth="1"/>
    <col min="27" max="27" width="11" bestFit="1" customWidth="1"/>
    <col min="31" max="31" width="11.6640625" bestFit="1" customWidth="1"/>
    <col min="33" max="33" width="11.6640625" bestFit="1" customWidth="1"/>
    <col min="34" max="34" width="11" bestFit="1" customWidth="1"/>
    <col min="36" max="36" width="11" bestFit="1" customWidth="1"/>
    <col min="40" max="40" width="11.6640625" bestFit="1" customWidth="1"/>
    <col min="42" max="42" width="11.6640625" bestFit="1" customWidth="1"/>
    <col min="43" max="43" width="11" bestFit="1" customWidth="1"/>
    <col min="45" max="45" width="11" bestFit="1" customWidth="1"/>
  </cols>
  <sheetData>
    <row r="2" spans="1:48" x14ac:dyDescent="0.2">
      <c r="B2" t="s">
        <v>87</v>
      </c>
      <c r="M2" t="s">
        <v>49</v>
      </c>
      <c r="V2" t="s">
        <v>50</v>
      </c>
      <c r="AE2" t="s">
        <v>51</v>
      </c>
      <c r="AN2" t="s">
        <v>52</v>
      </c>
    </row>
    <row r="3" spans="1:48" ht="32" x14ac:dyDescent="0.2">
      <c r="B3" s="223" t="s">
        <v>1</v>
      </c>
      <c r="C3" s="223"/>
      <c r="D3" s="223"/>
      <c r="E3" s="32" t="s">
        <v>68</v>
      </c>
      <c r="F3" s="33" t="s">
        <v>69</v>
      </c>
      <c r="G3" s="33" t="s">
        <v>70</v>
      </c>
      <c r="H3" s="33" t="s">
        <v>71</v>
      </c>
      <c r="I3" s="33"/>
      <c r="J3" s="33"/>
      <c r="K3" s="3" t="s">
        <v>72</v>
      </c>
      <c r="L3" s="3" t="s">
        <v>73</v>
      </c>
      <c r="M3" s="224" t="s">
        <v>1</v>
      </c>
      <c r="N3" s="224"/>
      <c r="O3" s="224"/>
      <c r="P3" s="38" t="s">
        <v>68</v>
      </c>
      <c r="Q3" s="39" t="s">
        <v>69</v>
      </c>
      <c r="R3" s="39" t="s">
        <v>70</v>
      </c>
      <c r="S3" s="39" t="s">
        <v>71</v>
      </c>
      <c r="T3" s="6" t="s">
        <v>72</v>
      </c>
      <c r="U3" s="6" t="s">
        <v>73</v>
      </c>
      <c r="V3" s="252" t="s">
        <v>1</v>
      </c>
      <c r="W3" s="252"/>
      <c r="X3" s="252"/>
      <c r="Y3" s="42" t="s">
        <v>68</v>
      </c>
      <c r="Z3" s="43" t="s">
        <v>69</v>
      </c>
      <c r="AA3" s="43" t="s">
        <v>70</v>
      </c>
      <c r="AB3" s="43" t="s">
        <v>71</v>
      </c>
      <c r="AC3" s="37" t="s">
        <v>72</v>
      </c>
      <c r="AD3" s="37" t="s">
        <v>73</v>
      </c>
      <c r="AE3" s="253" t="s">
        <v>1</v>
      </c>
      <c r="AF3" s="253"/>
      <c r="AG3" s="254"/>
      <c r="AH3" s="47" t="s">
        <v>68</v>
      </c>
      <c r="AI3" s="48" t="s">
        <v>69</v>
      </c>
      <c r="AJ3" s="48" t="s">
        <v>70</v>
      </c>
      <c r="AK3" s="48" t="s">
        <v>71</v>
      </c>
      <c r="AL3" s="36" t="s">
        <v>72</v>
      </c>
      <c r="AM3" s="36" t="s">
        <v>73</v>
      </c>
      <c r="AN3" s="223" t="s">
        <v>1</v>
      </c>
      <c r="AO3" s="223"/>
      <c r="AP3" s="223"/>
      <c r="AQ3" s="32" t="s">
        <v>68</v>
      </c>
      <c r="AR3" s="33" t="s">
        <v>69</v>
      </c>
      <c r="AS3" s="33" t="s">
        <v>70</v>
      </c>
      <c r="AT3" s="33" t="s">
        <v>71</v>
      </c>
      <c r="AU3" s="3" t="s">
        <v>72</v>
      </c>
      <c r="AV3" s="3" t="s">
        <v>73</v>
      </c>
    </row>
    <row r="4" spans="1:48" x14ac:dyDescent="0.2">
      <c r="B4" s="2">
        <v>-18.646802648964233</v>
      </c>
      <c r="C4" s="19" t="s">
        <v>2</v>
      </c>
      <c r="D4" s="2">
        <v>0.4161748941746008</v>
      </c>
      <c r="E4" s="34">
        <v>-14.301898298387684</v>
      </c>
      <c r="F4" s="34">
        <v>-23.243397298318371</v>
      </c>
      <c r="G4" s="19">
        <v>2.4032050437244892</v>
      </c>
      <c r="H4" s="35">
        <v>22</v>
      </c>
      <c r="I4" s="57">
        <v>-18.230627754789634</v>
      </c>
      <c r="J4" s="57">
        <v>-19.062977543138832</v>
      </c>
      <c r="K4" s="2">
        <v>-16.243597605239742</v>
      </c>
      <c r="L4" s="2">
        <v>-21.050007692688723</v>
      </c>
      <c r="M4" s="1">
        <v>-17.078252086116908</v>
      </c>
      <c r="N4" s="27" t="s">
        <v>2</v>
      </c>
      <c r="O4" s="1">
        <v>0.87216737614511064</v>
      </c>
      <c r="P4" s="40">
        <v>-14.301898298387684</v>
      </c>
      <c r="Q4" s="40">
        <v>-21.537282605131878</v>
      </c>
      <c r="R4" s="27">
        <v>2.9186633722498141</v>
      </c>
      <c r="S4" s="41">
        <v>6</v>
      </c>
      <c r="T4" s="21">
        <v>-14.159588713867095</v>
      </c>
      <c r="U4" s="21">
        <v>-19.996915458366722</v>
      </c>
      <c r="V4" s="28">
        <v>-19.123962928673912</v>
      </c>
      <c r="W4" s="29" t="s">
        <v>2</v>
      </c>
      <c r="X4" s="28">
        <v>0.6350008675954173</v>
      </c>
      <c r="Y4" s="44">
        <v>-17.069497411187797</v>
      </c>
      <c r="Z4" s="44">
        <v>-23.243397298318371</v>
      </c>
      <c r="AA4" s="29">
        <v>1.9500259165261731</v>
      </c>
      <c r="AB4" s="45">
        <v>10</v>
      </c>
      <c r="AC4" s="46">
        <v>-17.173937012147739</v>
      </c>
      <c r="AD4" s="46">
        <v>-21.073988845200084</v>
      </c>
      <c r="AE4" s="30">
        <v>-19.086510056460561</v>
      </c>
      <c r="AF4" s="31" t="s">
        <v>2</v>
      </c>
      <c r="AG4" s="30">
        <v>0.71084741472208113</v>
      </c>
      <c r="AH4" s="49">
        <v>-16.833165605017797</v>
      </c>
      <c r="AI4" s="49">
        <v>-22.706978749609807</v>
      </c>
      <c r="AJ4" s="31">
        <v>1.9864298709485015</v>
      </c>
      <c r="AK4" s="50">
        <v>6</v>
      </c>
      <c r="AL4" s="51">
        <v>-17.100080185512059</v>
      </c>
      <c r="AM4" s="51">
        <v>-21.072939927409063</v>
      </c>
      <c r="AN4" s="22">
        <v>-22.790070297399325</v>
      </c>
      <c r="AO4" s="22" t="s">
        <v>2</v>
      </c>
      <c r="AP4" s="22">
        <v>0.74363233214208091</v>
      </c>
      <c r="AQ4" s="34">
        <v>-21.555454997569168</v>
      </c>
      <c r="AR4" s="34">
        <v>-26.167590610275738</v>
      </c>
      <c r="AS4" s="19">
        <v>2.0608963917668848</v>
      </c>
      <c r="AT4" s="35">
        <v>6</v>
      </c>
      <c r="AU4" s="2">
        <v>-20.72917390563244</v>
      </c>
      <c r="AV4" s="2">
        <v>-24.85096668916621</v>
      </c>
    </row>
    <row r="5" spans="1:48" x14ac:dyDescent="0.2">
      <c r="B5" s="2">
        <v>-18.462532559751278</v>
      </c>
      <c r="C5" s="19" t="s">
        <v>2</v>
      </c>
      <c r="D5" s="2">
        <v>0.42408164805205772</v>
      </c>
      <c r="E5" s="34">
        <v>-15.1485647459203</v>
      </c>
      <c r="F5" s="34">
        <v>-24.245223592840979</v>
      </c>
      <c r="G5" s="19">
        <v>2.3027522514601508</v>
      </c>
      <c r="H5" s="35">
        <v>24</v>
      </c>
      <c r="I5" s="57">
        <v>-18.038450911699218</v>
      </c>
      <c r="J5" s="57">
        <v>-18.886614207803337</v>
      </c>
      <c r="K5" s="2">
        <v>-16.159780308291126</v>
      </c>
      <c r="L5" s="2">
        <v>-20.76528481121143</v>
      </c>
      <c r="M5" s="1">
        <v>-17.766015947212054</v>
      </c>
      <c r="N5" s="27" t="s">
        <v>2</v>
      </c>
      <c r="O5" s="1">
        <v>0.82828208691608785</v>
      </c>
      <c r="P5" s="40">
        <v>-15.1485647459203</v>
      </c>
      <c r="Q5" s="40">
        <v>-20.376118601852067</v>
      </c>
      <c r="R5" s="27">
        <v>1.988765755281239</v>
      </c>
      <c r="S5" s="41">
        <v>7</v>
      </c>
      <c r="T5" s="21">
        <v>-15.777250191930815</v>
      </c>
      <c r="U5" s="21">
        <v>-19.754781702493293</v>
      </c>
      <c r="V5" s="28">
        <v>-18.771335939548383</v>
      </c>
      <c r="W5" s="29" t="s">
        <v>2</v>
      </c>
      <c r="X5" s="28">
        <v>0.58479367913337776</v>
      </c>
      <c r="Y5" s="44">
        <v>-15.170293625905495</v>
      </c>
      <c r="Z5" s="44">
        <v>-24.245223592840979</v>
      </c>
      <c r="AA5" s="29">
        <v>2.8174890779975543</v>
      </c>
      <c r="AB5" s="45">
        <v>12</v>
      </c>
      <c r="AC5" s="46">
        <v>-15.953846861550829</v>
      </c>
      <c r="AD5" s="46">
        <v>-21.588825017545936</v>
      </c>
      <c r="AE5" s="30">
        <v>-18.58800517971515</v>
      </c>
      <c r="AF5" s="31" t="s">
        <v>2</v>
      </c>
      <c r="AG5" s="30">
        <v>0.85008951288391765</v>
      </c>
      <c r="AH5" s="49">
        <v>-16.593069072184385</v>
      </c>
      <c r="AI5" s="49">
        <v>-21.155786690122635</v>
      </c>
      <c r="AJ5" s="31">
        <v>1.6660492304708339</v>
      </c>
      <c r="AK5" s="50">
        <v>6</v>
      </c>
      <c r="AL5" s="51">
        <v>-16.921955949244317</v>
      </c>
      <c r="AM5" s="51">
        <v>-20.254054410185983</v>
      </c>
      <c r="AN5" s="22">
        <v>-22.324199341564153</v>
      </c>
      <c r="AO5" s="22" t="s">
        <v>2</v>
      </c>
      <c r="AP5" s="22">
        <v>0.74286750004576796</v>
      </c>
      <c r="AQ5" s="34">
        <v>-19.848011495087746</v>
      </c>
      <c r="AR5" s="34">
        <v>-25.880642822299404</v>
      </c>
      <c r="AS5" s="19">
        <v>2.5980773328649178</v>
      </c>
      <c r="AT5" s="35">
        <v>6</v>
      </c>
      <c r="AU5" s="2">
        <v>-19.726122008699235</v>
      </c>
      <c r="AV5" s="2">
        <v>-24.922276674429071</v>
      </c>
    </row>
    <row r="6" spans="1:48" x14ac:dyDescent="0.2">
      <c r="B6" s="2">
        <v>-18.780143846085394</v>
      </c>
      <c r="C6" s="19" t="s">
        <v>2</v>
      </c>
      <c r="D6" s="2">
        <v>0.367806909954288</v>
      </c>
      <c r="E6" s="34">
        <v>-14.936423464254499</v>
      </c>
      <c r="F6" s="34">
        <v>-22.341785224752385</v>
      </c>
      <c r="G6" s="19">
        <v>2.3010435423923399</v>
      </c>
      <c r="H6" s="35">
        <v>24</v>
      </c>
      <c r="I6" s="57">
        <v>-18.412336936131105</v>
      </c>
      <c r="J6" s="57">
        <v>-19.147950756039684</v>
      </c>
      <c r="K6" s="2">
        <v>-16.479100303693055</v>
      </c>
      <c r="L6" s="2">
        <v>-21.081187388477733</v>
      </c>
      <c r="M6" s="1">
        <v>-17.860450352362946</v>
      </c>
      <c r="N6" s="27" t="s">
        <v>2</v>
      </c>
      <c r="O6" s="1">
        <v>0.78877037862713473</v>
      </c>
      <c r="P6" s="40">
        <v>-14.936423464254499</v>
      </c>
      <c r="Q6" s="40">
        <v>-21.225947533690004</v>
      </c>
      <c r="R6" s="27">
        <v>2.4849899787829584</v>
      </c>
      <c r="S6" s="41">
        <v>7</v>
      </c>
      <c r="T6" s="21">
        <v>-15.375460373579987</v>
      </c>
      <c r="U6" s="21">
        <v>-20.345440331145905</v>
      </c>
      <c r="V6" s="28">
        <v>-19.460763555302908</v>
      </c>
      <c r="W6" s="29" t="s">
        <v>2</v>
      </c>
      <c r="X6" s="28">
        <v>0.51000557853915673</v>
      </c>
      <c r="Y6" s="44">
        <v>-15.797383967811939</v>
      </c>
      <c r="Z6" s="44">
        <v>-22.122314366011754</v>
      </c>
      <c r="AA6" s="29">
        <v>1.9829826932319472</v>
      </c>
      <c r="AB6" s="45">
        <v>12</v>
      </c>
      <c r="AC6" s="46">
        <v>-17.477780862070961</v>
      </c>
      <c r="AD6" s="46">
        <v>-21.443746248534854</v>
      </c>
      <c r="AE6" s="30">
        <v>-18.410540854966627</v>
      </c>
      <c r="AF6" s="31" t="s">
        <v>2</v>
      </c>
      <c r="AG6" s="30">
        <v>0.65264885040521436</v>
      </c>
      <c r="AH6" s="49">
        <v>-15.212927205256799</v>
      </c>
      <c r="AI6" s="49">
        <v>-22.341785224752385</v>
      </c>
      <c r="AJ6" s="31">
        <v>2.6863467991987755</v>
      </c>
      <c r="AK6" s="50">
        <v>6</v>
      </c>
      <c r="AL6" s="51">
        <v>-15.724194055767851</v>
      </c>
      <c r="AM6" s="51">
        <v>-21.096887654165403</v>
      </c>
      <c r="AN6" s="22">
        <v>-23.311274177587826</v>
      </c>
      <c r="AO6" s="22" t="s">
        <v>2</v>
      </c>
      <c r="AP6" s="22">
        <v>0.70372918786669902</v>
      </c>
      <c r="AQ6" s="34">
        <v>-21.060700221541275</v>
      </c>
      <c r="AR6" s="34">
        <v>-25.25456140866844</v>
      </c>
      <c r="AS6" s="19">
        <v>1.6246124771167401</v>
      </c>
      <c r="AT6" s="35">
        <v>6</v>
      </c>
      <c r="AU6" s="2">
        <v>-21.686661700471085</v>
      </c>
      <c r="AV6" s="2">
        <v>-24.935886654704568</v>
      </c>
    </row>
    <row r="7" spans="1:48" x14ac:dyDescent="0.2">
      <c r="B7" s="2">
        <v>-19.746558105262157</v>
      </c>
      <c r="C7" s="19" t="s">
        <v>2</v>
      </c>
      <c r="D7" s="2">
        <v>0.38935481968322683</v>
      </c>
      <c r="E7" s="34">
        <v>-15.283964253138604</v>
      </c>
      <c r="F7" s="34">
        <v>-24.858854509401173</v>
      </c>
      <c r="G7" s="19">
        <v>4.7316106714037041</v>
      </c>
      <c r="H7" s="35">
        <v>24</v>
      </c>
      <c r="I7" s="57">
        <v>-19.35720328557893</v>
      </c>
      <c r="J7" s="57">
        <v>-20.135912924945384</v>
      </c>
      <c r="K7" s="2">
        <v>-15.014947433858453</v>
      </c>
      <c r="L7" s="2">
        <v>-24.478168776665861</v>
      </c>
      <c r="M7" s="1">
        <v>-18.318098864234301</v>
      </c>
      <c r="N7" s="27" t="s">
        <v>2</v>
      </c>
      <c r="O7" s="1">
        <v>0.98050876712666235</v>
      </c>
      <c r="P7" s="40">
        <v>-15.283964253138604</v>
      </c>
      <c r="Q7" s="40">
        <v>-21.538976451524803</v>
      </c>
      <c r="R7" s="27">
        <v>2.0992793667477567</v>
      </c>
      <c r="S7" s="41">
        <v>6</v>
      </c>
      <c r="T7" s="21">
        <v>-16.218819497486543</v>
      </c>
      <c r="U7" s="21">
        <v>-20.41737823098206</v>
      </c>
      <c r="V7" s="28">
        <v>-20.145205865859104</v>
      </c>
      <c r="W7" s="29" t="s">
        <v>2</v>
      </c>
      <c r="X7" s="28">
        <v>0.49883976937034191</v>
      </c>
      <c r="Y7" s="44">
        <v>-16.781426390790166</v>
      </c>
      <c r="Z7" s="44">
        <v>-23.379697310314196</v>
      </c>
      <c r="AA7" s="29">
        <v>2.1290234823544996</v>
      </c>
      <c r="AB7" s="45">
        <v>13</v>
      </c>
      <c r="AC7" s="46">
        <v>-18.016182383504606</v>
      </c>
      <c r="AD7" s="46">
        <v>-22.274229348213602</v>
      </c>
      <c r="AE7" s="30">
        <v>-19.724140358720302</v>
      </c>
      <c r="AF7" s="31" t="s">
        <v>2</v>
      </c>
      <c r="AG7" s="30">
        <v>0.75702007490147449</v>
      </c>
      <c r="AH7" s="49">
        <v>-17.318986690971649</v>
      </c>
      <c r="AI7" s="49">
        <v>-24.858854509401173</v>
      </c>
      <c r="AJ7" s="31">
        <v>3.0225976511104165</v>
      </c>
      <c r="AK7" s="50">
        <v>6</v>
      </c>
      <c r="AL7" s="51">
        <v>-16.70154270760986</v>
      </c>
      <c r="AM7" s="51">
        <v>-22.746738009830693</v>
      </c>
      <c r="AN7" s="22">
        <v>-21.158100057061535</v>
      </c>
      <c r="AO7" s="22" t="s">
        <v>2</v>
      </c>
      <c r="AP7" s="22">
        <v>0.70625060552063801</v>
      </c>
      <c r="AQ7" s="34">
        <v>-17.467223078947434</v>
      </c>
      <c r="AR7" s="34">
        <v>-24.617643421753655</v>
      </c>
      <c r="AS7" s="19">
        <v>3.2977008902451179</v>
      </c>
      <c r="AT7" s="35">
        <v>6</v>
      </c>
      <c r="AU7" s="2">
        <v>-17.860399166816418</v>
      </c>
      <c r="AV7" s="2">
        <v>-24.455800947306653</v>
      </c>
    </row>
    <row r="8" spans="1:48" x14ac:dyDescent="0.2">
      <c r="B8" s="2">
        <v>-14.645220842554373</v>
      </c>
      <c r="C8" s="19" t="s">
        <v>2</v>
      </c>
      <c r="D8" s="2">
        <v>0.35786385522776371</v>
      </c>
      <c r="E8" s="34">
        <v>-9.8259563226400495</v>
      </c>
      <c r="F8" s="34">
        <v>-18.512402987547418</v>
      </c>
      <c r="G8" s="19">
        <v>2.3546601788465105</v>
      </c>
      <c r="H8" s="35">
        <v>25</v>
      </c>
      <c r="I8" s="57">
        <v>-14.287356987326609</v>
      </c>
      <c r="J8" s="57">
        <v>-15.003084697782137</v>
      </c>
      <c r="K8" s="2">
        <v>-12.290560663707863</v>
      </c>
      <c r="L8" s="2">
        <v>-16.999881021400885</v>
      </c>
      <c r="M8" s="1">
        <v>-12.522367661141676</v>
      </c>
      <c r="N8" s="27" t="s">
        <v>2</v>
      </c>
      <c r="O8" s="1">
        <v>0.76573105436900724</v>
      </c>
      <c r="P8" s="40">
        <v>-9.8259563226400495</v>
      </c>
      <c r="Q8" s="40">
        <v>-16.247740687638569</v>
      </c>
      <c r="R8" s="27">
        <v>2.1070586494646268</v>
      </c>
      <c r="S8" s="41">
        <v>7</v>
      </c>
      <c r="T8" s="21">
        <v>-10.415309011677049</v>
      </c>
      <c r="U8" s="21">
        <v>-14.629426310606302</v>
      </c>
      <c r="V8" s="28">
        <v>-14.925143233696424</v>
      </c>
      <c r="W8" s="29" t="s">
        <v>2</v>
      </c>
      <c r="X8" s="28">
        <v>0.47639451345709805</v>
      </c>
      <c r="Y8" s="44">
        <v>-12.688553347967924</v>
      </c>
      <c r="Z8" s="44">
        <v>-18.384096418612607</v>
      </c>
      <c r="AA8" s="29">
        <v>1.7441128425561547</v>
      </c>
      <c r="AB8" s="45">
        <v>13</v>
      </c>
      <c r="AC8" s="46">
        <v>-13.18103039114027</v>
      </c>
      <c r="AD8" s="46">
        <v>-16.66925607625258</v>
      </c>
      <c r="AE8" s="30">
        <v>-15.831347535949503</v>
      </c>
      <c r="AF8" s="31" t="s">
        <v>2</v>
      </c>
      <c r="AG8" s="30">
        <v>0.69244409719378075</v>
      </c>
      <c r="AH8" s="49">
        <v>-11.288137624033133</v>
      </c>
      <c r="AI8" s="49">
        <v>-18.512402987547418</v>
      </c>
      <c r="AJ8" s="31">
        <v>2.6931866515066383</v>
      </c>
      <c r="AK8" s="50">
        <v>6</v>
      </c>
      <c r="AL8" s="51">
        <v>-13.138160884442865</v>
      </c>
      <c r="AM8" s="51">
        <v>-18.52453418745614</v>
      </c>
      <c r="AN8" s="22">
        <v>-13.033918369654508</v>
      </c>
      <c r="AO8" s="22" t="s">
        <v>2</v>
      </c>
      <c r="AP8" s="22">
        <v>0.67780520057293736</v>
      </c>
      <c r="AQ8" s="34">
        <v>-10.225258320852305</v>
      </c>
      <c r="AR8" s="34">
        <v>-19.821647264883779</v>
      </c>
      <c r="AS8" s="19">
        <v>3.4932510705200035</v>
      </c>
      <c r="AT8" s="35">
        <v>6</v>
      </c>
      <c r="AU8" s="2">
        <v>-9.5406672991345047</v>
      </c>
      <c r="AV8" s="2">
        <v>-16.527169440174511</v>
      </c>
    </row>
    <row r="9" spans="1:48" x14ac:dyDescent="0.2">
      <c r="B9" s="2">
        <v>-4.2727724793556465</v>
      </c>
      <c r="C9" s="19" t="s">
        <v>2</v>
      </c>
      <c r="D9" s="2">
        <v>0.3580625104346139</v>
      </c>
      <c r="E9" s="34">
        <v>2.1893240486325904</v>
      </c>
      <c r="F9" s="34">
        <v>-9.7243886189293249</v>
      </c>
      <c r="G9" s="19">
        <v>2.8754964884437322</v>
      </c>
      <c r="H9" s="35">
        <v>25</v>
      </c>
      <c r="I9" s="57">
        <v>-3.9147099689210325</v>
      </c>
      <c r="J9" s="57">
        <v>-4.6308349897902605</v>
      </c>
      <c r="K9" s="2">
        <v>-1.3972759909119143</v>
      </c>
      <c r="L9" s="2">
        <v>-7.1482689677993783</v>
      </c>
      <c r="M9" s="1">
        <v>-1.9743820549864566</v>
      </c>
      <c r="N9" s="27" t="s">
        <v>2</v>
      </c>
      <c r="O9" s="1">
        <v>0.7993089327873738</v>
      </c>
      <c r="P9" s="40">
        <v>2.1893240486325904</v>
      </c>
      <c r="Q9" s="40">
        <v>-6.1132851148196776</v>
      </c>
      <c r="R9" s="27">
        <v>3.0183549652361825</v>
      </c>
      <c r="S9" s="41">
        <v>7</v>
      </c>
      <c r="T9" s="21">
        <v>1.0439729102497259</v>
      </c>
      <c r="U9" s="21">
        <v>-4.9927370202226395</v>
      </c>
      <c r="V9" s="28">
        <v>-3.918063960606899</v>
      </c>
      <c r="W9" s="29" t="s">
        <v>2</v>
      </c>
      <c r="X9" s="28">
        <v>0.46044811261836338</v>
      </c>
      <c r="Y9" s="44">
        <v>0.9369666472640592</v>
      </c>
      <c r="Z9" s="44">
        <v>-9.7243886189293249</v>
      </c>
      <c r="AA9" s="29">
        <v>2.8102778246108624</v>
      </c>
      <c r="AB9" s="45">
        <v>13</v>
      </c>
      <c r="AC9" s="46">
        <v>-1.1077861359960366</v>
      </c>
      <c r="AD9" s="46">
        <v>-6.7283417852177614</v>
      </c>
      <c r="AE9" s="30">
        <v>-6.9114285538454112</v>
      </c>
      <c r="AF9" s="31" t="s">
        <v>2</v>
      </c>
      <c r="AG9" s="30">
        <v>0.72062431307507657</v>
      </c>
      <c r="AH9" s="49">
        <v>-3.2360400440546444</v>
      </c>
      <c r="AI9" s="49">
        <v>-8.1652914805774301</v>
      </c>
      <c r="AJ9" s="31">
        <v>1.8257685308381439</v>
      </c>
      <c r="AK9" s="50">
        <v>6</v>
      </c>
      <c r="AL9" s="51">
        <v>-5.085660023007267</v>
      </c>
      <c r="AM9" s="51">
        <v>-8.7371970846835545</v>
      </c>
      <c r="AN9" s="22">
        <v>-8.1832964433927735</v>
      </c>
      <c r="AO9" s="22" t="s">
        <v>2</v>
      </c>
      <c r="AP9" s="22">
        <v>0.67129469146872855</v>
      </c>
      <c r="AQ9" s="34">
        <v>-5.817789101526194</v>
      </c>
      <c r="AR9" s="34">
        <v>-12.899215335660518</v>
      </c>
      <c r="AS9" s="19">
        <v>2.5949593363241417</v>
      </c>
      <c r="AT9" s="35">
        <v>6</v>
      </c>
      <c r="AU9" s="2">
        <v>-5.5883371070686323</v>
      </c>
      <c r="AV9" s="2">
        <v>-10.778255779716915</v>
      </c>
    </row>
    <row r="10" spans="1:48" x14ac:dyDescent="0.2">
      <c r="B10" s="2">
        <v>-2.012786801215638</v>
      </c>
      <c r="C10" s="19" t="s">
        <v>2</v>
      </c>
      <c r="D10" s="2">
        <v>0.36735674626211889</v>
      </c>
      <c r="E10" s="34">
        <v>2.175821289685187</v>
      </c>
      <c r="F10" s="34">
        <v>-6.648053365299833</v>
      </c>
      <c r="G10" s="19">
        <v>2.2525663463722005</v>
      </c>
      <c r="H10" s="35">
        <v>25</v>
      </c>
      <c r="I10" s="57">
        <v>-1.6454300549535192</v>
      </c>
      <c r="J10" s="57">
        <v>-2.3801435474777568</v>
      </c>
      <c r="K10" s="2">
        <v>0.23977954515656252</v>
      </c>
      <c r="L10" s="2">
        <v>-4.2653531475878381</v>
      </c>
      <c r="M10" s="1">
        <v>-1.3966447590697539</v>
      </c>
      <c r="N10" s="27" t="s">
        <v>2</v>
      </c>
      <c r="O10" s="1">
        <v>0.90781134485284964</v>
      </c>
      <c r="P10" s="40">
        <v>2.175821289685187</v>
      </c>
      <c r="Q10" s="40">
        <v>-2.6394129184634796</v>
      </c>
      <c r="R10" s="27">
        <v>1.8660445409060484</v>
      </c>
      <c r="S10" s="41">
        <v>7</v>
      </c>
      <c r="T10" s="21">
        <v>0.46939978183629449</v>
      </c>
      <c r="U10" s="21">
        <v>-3.2626892999758024</v>
      </c>
      <c r="V10" s="28">
        <v>-1.6496347427771285</v>
      </c>
      <c r="W10" s="29" t="s">
        <v>2</v>
      </c>
      <c r="X10" s="28">
        <v>0.47999565076534106</v>
      </c>
      <c r="Y10" s="44">
        <v>2.13896714133055</v>
      </c>
      <c r="Z10" s="44">
        <v>-6.4990355269370914</v>
      </c>
      <c r="AA10" s="29">
        <v>2.591900013244453</v>
      </c>
      <c r="AB10" s="45">
        <v>13</v>
      </c>
      <c r="AC10" s="46">
        <v>0.94226527046732445</v>
      </c>
      <c r="AD10" s="46">
        <v>-4.241534756021581</v>
      </c>
      <c r="AE10" s="30">
        <v>-3.0921932556031706</v>
      </c>
      <c r="AF10" s="31" t="s">
        <v>2</v>
      </c>
      <c r="AG10" s="30">
        <v>0.69446475787143835</v>
      </c>
      <c r="AH10" s="49">
        <v>-1.7244024236184874</v>
      </c>
      <c r="AI10" s="49">
        <v>-6.648053365299833</v>
      </c>
      <c r="AJ10" s="31">
        <v>1.6223606777262769</v>
      </c>
      <c r="AK10" s="50">
        <v>6</v>
      </c>
      <c r="AL10" s="51">
        <v>-1.4698325778768937</v>
      </c>
      <c r="AM10" s="51">
        <v>-4.7145539333294479</v>
      </c>
      <c r="AN10" s="22">
        <v>-7.3472256771390798</v>
      </c>
      <c r="AO10" s="22" t="s">
        <v>2</v>
      </c>
      <c r="AP10" s="22">
        <v>0.71146623785756324</v>
      </c>
      <c r="AQ10" s="34">
        <v>-5.6913212360529819</v>
      </c>
      <c r="AR10" s="34">
        <v>-10.293891936398293</v>
      </c>
      <c r="AS10" s="19">
        <v>1.958983168059965</v>
      </c>
      <c r="AT10" s="35">
        <v>6</v>
      </c>
      <c r="AU10" s="2">
        <v>-5.3882425090791148</v>
      </c>
      <c r="AV10" s="2">
        <v>-9.3062088451990448</v>
      </c>
    </row>
    <row r="11" spans="1:48" x14ac:dyDescent="0.2">
      <c r="B11" s="2">
        <v>-2.5608397839855801</v>
      </c>
      <c r="C11" s="19" t="s">
        <v>2</v>
      </c>
      <c r="D11" s="2">
        <v>0.39785261248411879</v>
      </c>
      <c r="E11" s="34">
        <v>2.9075436442085323</v>
      </c>
      <c r="F11" s="34">
        <v>-8.4921161363838991</v>
      </c>
      <c r="G11" s="19">
        <v>2.4732214799472381</v>
      </c>
      <c r="H11" s="35">
        <v>24</v>
      </c>
      <c r="I11" s="57">
        <v>-2.1629871715014612</v>
      </c>
      <c r="J11" s="57">
        <v>-2.9586923964696989</v>
      </c>
      <c r="K11" s="2">
        <v>-8.7618304038342032E-2</v>
      </c>
      <c r="L11" s="2">
        <v>-5.0340612639328182</v>
      </c>
      <c r="M11" s="1">
        <v>-2.1417768441797103</v>
      </c>
      <c r="N11" s="27" t="s">
        <v>2</v>
      </c>
      <c r="O11" s="1">
        <v>0.88546510735433204</v>
      </c>
      <c r="P11" s="40">
        <v>1.5936228726829427</v>
      </c>
      <c r="Q11" s="40">
        <v>-3.6293450660298543</v>
      </c>
      <c r="R11" s="27">
        <v>1.9785975452669224</v>
      </c>
      <c r="S11" s="41">
        <v>6</v>
      </c>
      <c r="T11" s="21">
        <v>-0.16317929891278782</v>
      </c>
      <c r="U11" s="21">
        <v>-4.1203743894466331</v>
      </c>
      <c r="V11" s="28">
        <v>-1.63591917928263</v>
      </c>
      <c r="W11" s="29" t="s">
        <v>2</v>
      </c>
      <c r="X11" s="28">
        <v>0.56383391918194481</v>
      </c>
      <c r="Y11" s="44">
        <v>2.9075436442085323</v>
      </c>
      <c r="Z11" s="44">
        <v>-5.4857316479373086</v>
      </c>
      <c r="AA11" s="29">
        <v>2.2040187040007986</v>
      </c>
      <c r="AB11" s="45">
        <v>12</v>
      </c>
      <c r="AC11" s="46">
        <v>0.5680995247181686</v>
      </c>
      <c r="AD11" s="46">
        <v>-3.8399378832834286</v>
      </c>
      <c r="AE11" s="30">
        <v>-4.366952092177856</v>
      </c>
      <c r="AF11" s="31" t="s">
        <v>2</v>
      </c>
      <c r="AG11" s="30">
        <v>0.72611271541617628</v>
      </c>
      <c r="AH11" s="49">
        <v>-3.1552755311868852</v>
      </c>
      <c r="AI11" s="49">
        <v>-8.4921161363838991</v>
      </c>
      <c r="AJ11" s="31">
        <v>2.1780036919288639</v>
      </c>
      <c r="AK11" s="50">
        <v>6</v>
      </c>
      <c r="AL11" s="51">
        <v>-2.1889484002489921</v>
      </c>
      <c r="AM11" s="51">
        <v>-6.5449557841067199</v>
      </c>
      <c r="AN11" s="22">
        <v>-9.1598641600990618</v>
      </c>
      <c r="AO11" s="22" t="s">
        <v>2</v>
      </c>
      <c r="AP11" s="22">
        <v>0.69649079479653753</v>
      </c>
      <c r="AQ11" s="34">
        <v>-6.4692178874393713</v>
      </c>
      <c r="AR11" s="34">
        <v>-13.344973611395972</v>
      </c>
      <c r="AS11" s="19">
        <v>2.3847377000119163</v>
      </c>
      <c r="AT11" s="35">
        <v>6</v>
      </c>
      <c r="AU11" s="2">
        <v>-6.7751264600871455</v>
      </c>
      <c r="AV11" s="2">
        <v>-11.544601860110978</v>
      </c>
    </row>
    <row r="12" spans="1:48" x14ac:dyDescent="0.2">
      <c r="B12" s="2">
        <v>-4.6362391908573164</v>
      </c>
      <c r="C12" s="19" t="s">
        <v>2</v>
      </c>
      <c r="D12" s="2">
        <v>0.43275332141056255</v>
      </c>
      <c r="E12" s="34">
        <v>0.43539571810535804</v>
      </c>
      <c r="F12" s="34">
        <v>-9.571045443633075</v>
      </c>
      <c r="G12" s="19">
        <v>2.6087209986377018</v>
      </c>
      <c r="H12" s="35">
        <v>22</v>
      </c>
      <c r="I12" s="57">
        <v>-4.2034858694467534</v>
      </c>
      <c r="J12" s="57">
        <v>-5.0689925122678794</v>
      </c>
      <c r="K12" s="2">
        <v>-2.0275181922196146</v>
      </c>
      <c r="L12" s="2">
        <v>-7.2449601894950177</v>
      </c>
      <c r="M12" s="1">
        <v>-2.7230566922981092</v>
      </c>
      <c r="N12" s="27" t="s">
        <v>2</v>
      </c>
      <c r="O12" s="1">
        <v>0.86972711846497086</v>
      </c>
      <c r="P12" s="40">
        <v>0.43539571810535804</v>
      </c>
      <c r="Q12" s="40">
        <v>-6.4738898329598227</v>
      </c>
      <c r="R12" s="27">
        <v>2.412096650585196</v>
      </c>
      <c r="S12" s="41">
        <v>6</v>
      </c>
      <c r="T12" s="21">
        <v>-0.31096004171291325</v>
      </c>
      <c r="U12" s="21">
        <v>-5.1351533428833047</v>
      </c>
      <c r="V12" s="28">
        <v>-4.5883310322712978</v>
      </c>
      <c r="W12" s="29" t="s">
        <v>2</v>
      </c>
      <c r="X12" s="28">
        <v>0.66903081200835046</v>
      </c>
      <c r="Y12" s="44">
        <v>-2.5986366266335104</v>
      </c>
      <c r="Z12" s="44">
        <v>-7.354263894954749</v>
      </c>
      <c r="AA12" s="29">
        <v>1.3790788284980053</v>
      </c>
      <c r="AB12" s="45">
        <v>10</v>
      </c>
      <c r="AC12" s="46">
        <v>-3.2092522037732927</v>
      </c>
      <c r="AD12" s="46">
        <v>-5.9674098607693029</v>
      </c>
      <c r="AE12" s="30">
        <v>-6.1045177947720575</v>
      </c>
      <c r="AF12" s="31" t="s">
        <v>2</v>
      </c>
      <c r="AG12" s="30">
        <v>0.74877422424661555</v>
      </c>
      <c r="AH12" s="49">
        <v>-2.9830535441039974</v>
      </c>
      <c r="AI12" s="49">
        <v>-9.571045443633075</v>
      </c>
      <c r="AJ12" s="31">
        <v>2.3682078211019513</v>
      </c>
      <c r="AK12" s="50">
        <v>6</v>
      </c>
      <c r="AL12" s="51">
        <v>-3.7363099736701062</v>
      </c>
      <c r="AM12" s="51">
        <v>-8.4727256158740083</v>
      </c>
      <c r="AN12" s="22">
        <v>-10.062802132985826</v>
      </c>
      <c r="AO12" s="22" t="s">
        <v>2</v>
      </c>
      <c r="AP12" s="22">
        <v>0.73878627129902197</v>
      </c>
      <c r="AQ12" s="34">
        <v>-7.1413216995088735</v>
      </c>
      <c r="AR12" s="34">
        <v>-12.150322660955059</v>
      </c>
      <c r="AS12" s="19">
        <v>1.9871839933202584</v>
      </c>
      <c r="AT12" s="35">
        <v>6</v>
      </c>
      <c r="AU12" s="2">
        <v>-8.0756181396655684</v>
      </c>
      <c r="AV12" s="2">
        <v>-12.049986126306084</v>
      </c>
    </row>
    <row r="13" spans="1:48" x14ac:dyDescent="0.2">
      <c r="B13" s="2">
        <v>-5.3807120786232288</v>
      </c>
      <c r="C13" s="19" t="s">
        <v>2</v>
      </c>
      <c r="D13" s="2">
        <v>0.44450315639061594</v>
      </c>
      <c r="E13" s="34">
        <v>-3.1263630083877558E-2</v>
      </c>
      <c r="F13" s="34">
        <v>-8.9029761200578594</v>
      </c>
      <c r="G13" s="19">
        <v>2.6207612137533158</v>
      </c>
      <c r="H13" s="35">
        <v>21</v>
      </c>
      <c r="I13" s="57">
        <v>-4.9362089222326127</v>
      </c>
      <c r="J13" s="57">
        <v>-5.8252152350138449</v>
      </c>
      <c r="K13" s="2">
        <v>-2.7599508648699129</v>
      </c>
      <c r="L13" s="2">
        <v>-8.001473292376545</v>
      </c>
      <c r="M13" s="1">
        <v>-4.1152894128635431</v>
      </c>
      <c r="N13" s="27" t="s">
        <v>2</v>
      </c>
      <c r="O13" s="1">
        <v>0.87408471233004514</v>
      </c>
      <c r="P13" s="40">
        <v>-3.1263630083877558E-2</v>
      </c>
      <c r="Q13" s="40">
        <v>-6.2427264445646946</v>
      </c>
      <c r="R13" s="27">
        <v>2.5078159130708735</v>
      </c>
      <c r="S13" s="41">
        <v>6</v>
      </c>
      <c r="T13" s="21">
        <v>-1.6074734997926696</v>
      </c>
      <c r="U13" s="21">
        <v>-6.6231053259344161</v>
      </c>
      <c r="V13" s="28">
        <v>-5.5313551244761117</v>
      </c>
      <c r="W13" s="29" t="s">
        <v>2</v>
      </c>
      <c r="X13" s="28">
        <v>0.68281290598037547</v>
      </c>
      <c r="Y13" s="44">
        <v>-3.1533853283541857</v>
      </c>
      <c r="Z13" s="44">
        <v>-7.4772720938212078</v>
      </c>
      <c r="AA13" s="29">
        <v>1.3861337833289953</v>
      </c>
      <c r="AB13" s="45">
        <v>9</v>
      </c>
      <c r="AC13" s="46">
        <v>-4.1452213411471162</v>
      </c>
      <c r="AD13" s="46">
        <v>-6.9174889078051072</v>
      </c>
      <c r="AE13" s="30">
        <v>-6.2060180007597054</v>
      </c>
      <c r="AF13" s="31" t="s">
        <v>2</v>
      </c>
      <c r="AG13" s="30">
        <v>0.78873317396257636</v>
      </c>
      <c r="AH13" s="49">
        <v>-4.7676668341716244</v>
      </c>
      <c r="AI13" s="49">
        <v>-8.9029761200578594</v>
      </c>
      <c r="AJ13" s="31">
        <v>1.3908828692876296</v>
      </c>
      <c r="AK13" s="50">
        <v>6</v>
      </c>
      <c r="AL13" s="51">
        <v>-4.8151351314720756</v>
      </c>
      <c r="AM13" s="51">
        <v>-7.5969008700473353</v>
      </c>
      <c r="AN13" s="22">
        <v>-10.657127956044565</v>
      </c>
      <c r="AO13" s="22" t="s">
        <v>2</v>
      </c>
      <c r="AP13" s="22">
        <v>0.7439001056053709</v>
      </c>
      <c r="AQ13" s="34">
        <v>-9.1503213561052732</v>
      </c>
      <c r="AR13" s="34">
        <v>-12.732066522275542</v>
      </c>
      <c r="AS13" s="19">
        <v>1.485978772994319</v>
      </c>
      <c r="AT13" s="35">
        <v>6</v>
      </c>
      <c r="AU13" s="2">
        <v>-9.1711491830502467</v>
      </c>
      <c r="AV13" s="2">
        <v>-12.143106729038884</v>
      </c>
    </row>
    <row r="14" spans="1:48" x14ac:dyDescent="0.2">
      <c r="B14" s="2">
        <v>-6.0081182657921728</v>
      </c>
      <c r="C14" s="19" t="s">
        <v>2</v>
      </c>
      <c r="D14" s="2">
        <v>0.43703231187937425</v>
      </c>
      <c r="E14" s="34">
        <v>-2.3472832490175621</v>
      </c>
      <c r="F14" s="34">
        <v>-10.162460463498002</v>
      </c>
      <c r="G14" s="19">
        <v>2.8054143804048919</v>
      </c>
      <c r="H14" s="35">
        <v>21</v>
      </c>
      <c r="I14" s="57">
        <v>-5.5710859539127986</v>
      </c>
      <c r="J14" s="57">
        <v>-6.445150577671547</v>
      </c>
      <c r="K14" s="2">
        <v>-3.2027038853872809</v>
      </c>
      <c r="L14" s="2">
        <v>-8.8135326461970642</v>
      </c>
      <c r="M14" s="1">
        <v>-5.0102919871611862</v>
      </c>
      <c r="N14" s="27" t="s">
        <v>2</v>
      </c>
      <c r="O14" s="1">
        <v>0.86481797166553054</v>
      </c>
      <c r="P14" s="40">
        <v>-3.571630535373127</v>
      </c>
      <c r="Q14" s="40">
        <v>-6.285032417849612</v>
      </c>
      <c r="R14" s="27">
        <v>1.217149407573888</v>
      </c>
      <c r="S14" s="41">
        <v>6</v>
      </c>
      <c r="T14" s="21">
        <v>-3.7931425795872982</v>
      </c>
      <c r="U14" s="21">
        <v>-6.2274413947350737</v>
      </c>
      <c r="V14" s="28">
        <v>-6.3433003306041513</v>
      </c>
      <c r="W14" s="29" t="s">
        <v>2</v>
      </c>
      <c r="X14" s="28">
        <v>0.68139168400728301</v>
      </c>
      <c r="Y14" s="44">
        <v>-2.3472832490175621</v>
      </c>
      <c r="Z14" s="44">
        <v>-9.5855488655268708</v>
      </c>
      <c r="AA14" s="29">
        <v>2.3870914162052679</v>
      </c>
      <c r="AB14" s="45">
        <v>9</v>
      </c>
      <c r="AC14" s="46">
        <v>-3.9562089143988834</v>
      </c>
      <c r="AD14" s="46">
        <v>-8.7303917468094188</v>
      </c>
      <c r="AE14" s="30">
        <v>-6.3569498463381668</v>
      </c>
      <c r="AF14" s="31" t="s">
        <v>2</v>
      </c>
      <c r="AG14" s="30">
        <v>0.75705115362321529</v>
      </c>
      <c r="AH14" s="49">
        <v>-4.4375254156635568</v>
      </c>
      <c r="AI14" s="49">
        <v>-10.162460463498002</v>
      </c>
      <c r="AJ14" s="31">
        <v>1.8850532563947753</v>
      </c>
      <c r="AK14" s="50">
        <v>6</v>
      </c>
      <c r="AL14" s="51">
        <v>-4.4718965899433911</v>
      </c>
      <c r="AM14" s="51">
        <v>-8.2420031027329426</v>
      </c>
      <c r="AN14" s="22">
        <v>-11.542129214380914</v>
      </c>
      <c r="AO14" s="22" t="s">
        <v>2</v>
      </c>
      <c r="AP14" s="22">
        <v>0.74053257728915922</v>
      </c>
      <c r="AQ14" s="34">
        <v>-8.7741026167937886</v>
      </c>
      <c r="AR14" s="34">
        <v>-13.755231614571928</v>
      </c>
      <c r="AS14" s="19">
        <v>1.7841663077284415</v>
      </c>
      <c r="AT14" s="35">
        <v>6</v>
      </c>
      <c r="AU14" s="2">
        <v>-9.7579629066524731</v>
      </c>
      <c r="AV14" s="2">
        <v>-13.326295522109355</v>
      </c>
    </row>
    <row r="16" spans="1:48" x14ac:dyDescent="0.2">
      <c r="A16" t="s">
        <v>90</v>
      </c>
      <c r="B16" s="26">
        <f>AVERAGE(B4:B14)</f>
        <v>-10.468429691131547</v>
      </c>
      <c r="C16" s="26" t="s">
        <v>2</v>
      </c>
      <c r="D16" s="26">
        <f>SQRT(1/(1/D4^2+1/D5^2+1/D6^2+1/D7^2+1/D8^2+1/D9^2+1/D10^2+1/D11^2+1/D12^2+1/D13^2+1/D14^2))</f>
        <v>0.11927189283654063</v>
      </c>
      <c r="M16" s="1">
        <f>AVERAGE(M4:M14)</f>
        <v>-9.1733296965115141</v>
      </c>
      <c r="N16" s="1" t="s">
        <v>2</v>
      </c>
      <c r="O16" s="1">
        <f>SQRT(1/(1/O4^2+1/O5^2+1/O6^2+1/O7^2+1/O8^2+1/O9^2+1/O10^2+1/O11^2+1/O12^2+1/O13^2+1/O14^2))</f>
        <v>0.25694163321844515</v>
      </c>
      <c r="V16" s="1">
        <f>AVERAGE(V4:V14)</f>
        <v>-10.553910535736266</v>
      </c>
      <c r="W16" s="1" t="s">
        <v>2</v>
      </c>
      <c r="X16" s="1">
        <f>SQRT(1/(1/X4^2+1/X5^2+1/X6^2+1/X7^2+1/X8^2+1/X9^2+1/X10^2+1/X11^2+1/X12^2+1/X13^2+1/X14^2))</f>
        <v>0.16572800264817786</v>
      </c>
      <c r="AE16" s="1">
        <f>AVERAGE(AE4:AE14)</f>
        <v>-11.334418502664411</v>
      </c>
      <c r="AF16" s="1" t="s">
        <v>2</v>
      </c>
      <c r="AG16" s="1">
        <f>SQRT(1/(1/AG4^2+1/AG5^2+1/AG6^2+1/AG7^2+1/AG8^2+1/AG9^2+1/AG10^2+1/AG11^2+1/AG12^2+1/AG13^2+1/AG14^2))</f>
        <v>0.22047223024940296</v>
      </c>
      <c r="AN16" s="1">
        <f>AVERAGE(AN4:AN14)</f>
        <v>-14.506364347937234</v>
      </c>
      <c r="AO16" s="1" t="s">
        <v>2</v>
      </c>
      <c r="AP16" s="1">
        <f>SQRT(1/(1/AP4^2+1/AP5^2+1/AP6^2+1/AP7^2+1/AP8^2+1/AP9^2+1/AP10^2+1/AP11^2+1/AP12^2+1/AP13^2+1/AP14^2))</f>
        <v>0.2154651936053559</v>
      </c>
    </row>
    <row r="17" spans="1:46" s="58" customFormat="1" x14ac:dyDescent="0.2">
      <c r="A17" s="58" t="s">
        <v>89</v>
      </c>
      <c r="B17" s="59">
        <f>AVERAGE(B10:B12)-AVERAGE(B5:B7)</f>
        <v>15.92645624501343</v>
      </c>
      <c r="C17" s="59" t="s">
        <v>2</v>
      </c>
      <c r="D17" s="59">
        <f>SQRT((1/(1/D5^2+1/D6^2+1/D7^2)+1/(1/D11^2+1/D12^2+1/D13^2)))</f>
        <v>0.33311864808308572</v>
      </c>
      <c r="M17" s="60">
        <f>AVERAGE(M10:M12)-AVERAGE(M5:M7)</f>
        <v>15.894362289420577</v>
      </c>
      <c r="N17" s="60" t="s">
        <v>2</v>
      </c>
      <c r="O17" s="60">
        <f>SQRT((1/(1/O5^2+1/O6^2+1/O7^2)+1/(1/O11^2+1/O12^2+1/O13^2)))</f>
        <v>0.70682221808222867</v>
      </c>
      <c r="V17" s="60">
        <f>AVERAGE(V10:V12)-AVERAGE(V5:V7)</f>
        <v>16.83447346879311</v>
      </c>
      <c r="W17" s="60" t="s">
        <v>2</v>
      </c>
      <c r="X17" s="60">
        <f>SQRT((1/(1/X5^2+1/X6^2+1/X7^2)+1/(1/X11^2+1/X12^2+1/X13^2)))</f>
        <v>0.47497360410516559</v>
      </c>
      <c r="AE17" s="60">
        <f>AVERAGE(AE10:AE12)-AVERAGE(AE5:AE7)</f>
        <v>14.386341083616333</v>
      </c>
      <c r="AF17" s="60" t="s">
        <v>2</v>
      </c>
      <c r="AG17" s="60">
        <f>SQRT((1/(1/AG5^2+1/AG6^2+1/AG7^2)+1/(1/AG11^2+1/AG12^2+1/AG13^2)))</f>
        <v>0.60968625382651309</v>
      </c>
      <c r="AN17" s="60">
        <f>AVERAGE(AN9:AN11)-AVERAGE(AN4:AN6)</f>
        <v>14.5783858453068</v>
      </c>
      <c r="AO17" s="60" t="s">
        <v>2</v>
      </c>
      <c r="AP17" s="60">
        <f>SQRT((1/(1/AP5^2+1/AP6^2+1/AP4^2)+1/(1/AP11^2+1/AP12^2+1/AP10^2)))</f>
        <v>0.58965870637087692</v>
      </c>
    </row>
    <row r="18" spans="1:46" s="58" customFormat="1" x14ac:dyDescent="0.2">
      <c r="B18" s="59"/>
      <c r="C18" s="59"/>
      <c r="D18" s="59"/>
      <c r="M18" s="60"/>
      <c r="N18" s="60"/>
      <c r="O18" s="60"/>
      <c r="V18" s="60"/>
      <c r="W18" s="60"/>
      <c r="X18" s="60"/>
      <c r="AE18" s="60"/>
      <c r="AF18" s="60"/>
      <c r="AG18" s="60"/>
      <c r="AN18" s="60"/>
      <c r="AO18" s="60"/>
      <c r="AP18" s="60"/>
    </row>
    <row r="19" spans="1:46" s="58" customFormat="1" x14ac:dyDescent="0.2">
      <c r="B19" s="59"/>
      <c r="C19" s="59"/>
      <c r="D19" s="59"/>
      <c r="E19" s="54" t="s">
        <v>88</v>
      </c>
      <c r="F19"/>
      <c r="G19" s="54">
        <f>B16+D16</f>
        <v>-10.349157798295007</v>
      </c>
      <c r="M19" s="60"/>
      <c r="N19" s="60"/>
      <c r="O19" s="60"/>
      <c r="P19" s="54">
        <f>M16-O16</f>
        <v>-9.4302713297299601</v>
      </c>
      <c r="Q19"/>
      <c r="R19" s="54">
        <f>M16+O16</f>
        <v>-8.9163880632930681</v>
      </c>
      <c r="V19" s="60"/>
      <c r="W19" s="60"/>
      <c r="X19" s="60"/>
      <c r="Y19" s="54">
        <f>V16-X16</f>
        <v>-10.719638538384444</v>
      </c>
      <c r="Z19"/>
      <c r="AA19" s="54">
        <f>V16+X16</f>
        <v>-10.388182533088088</v>
      </c>
      <c r="AE19" s="60"/>
      <c r="AF19" s="60"/>
      <c r="AG19" s="60"/>
      <c r="AH19" s="54">
        <f>AE16-AG16</f>
        <v>-11.554890732913814</v>
      </c>
      <c r="AI19"/>
      <c r="AJ19" s="54">
        <f>AE16+AG16</f>
        <v>-11.113946272415008</v>
      </c>
      <c r="AN19" s="60"/>
      <c r="AO19" s="60"/>
      <c r="AP19" s="60"/>
      <c r="AQ19" s="54">
        <f>AN16-AP16</f>
        <v>-14.72182954154259</v>
      </c>
      <c r="AR19"/>
      <c r="AS19" s="54">
        <f>AN16+AP16</f>
        <v>-14.290899154331878</v>
      </c>
    </row>
    <row r="20" spans="1:46" s="58" customFormat="1" x14ac:dyDescent="0.2">
      <c r="B20" s="59"/>
      <c r="C20" s="59"/>
      <c r="D20" s="59"/>
      <c r="E20" s="58">
        <f>B17-D17</f>
        <v>15.593337596930343</v>
      </c>
      <c r="G20" s="58">
        <f>B17+D17</f>
        <v>16.259574893096516</v>
      </c>
      <c r="M20" s="60"/>
      <c r="N20" s="60"/>
      <c r="O20" s="60"/>
      <c r="P20" s="58">
        <f>M17-O17</f>
        <v>15.187540071338349</v>
      </c>
      <c r="R20" s="58">
        <f>M17+O17</f>
        <v>16.601184507502808</v>
      </c>
      <c r="V20" s="60"/>
      <c r="W20" s="60"/>
      <c r="X20" s="60"/>
      <c r="Y20" s="58">
        <f>V17-X17</f>
        <v>16.359499864687944</v>
      </c>
      <c r="AA20" s="58">
        <f>V17+X17</f>
        <v>17.309447072898276</v>
      </c>
      <c r="AE20" s="60"/>
      <c r="AF20" s="60"/>
      <c r="AG20" s="60"/>
      <c r="AH20" s="58">
        <f>AE17-AG17</f>
        <v>13.77665482978982</v>
      </c>
      <c r="AJ20" s="58">
        <f>AE17+AG17</f>
        <v>14.996027337442847</v>
      </c>
      <c r="AN20" s="60"/>
      <c r="AO20" s="60"/>
      <c r="AP20" s="60"/>
      <c r="AQ20" s="58">
        <f>AN17-AP17</f>
        <v>13.988727138935923</v>
      </c>
      <c r="AS20" s="58">
        <f>AN17+AP17</f>
        <v>15.168044551677676</v>
      </c>
    </row>
    <row r="21" spans="1:46" s="58" customFormat="1" x14ac:dyDescent="0.2">
      <c r="B21" s="59"/>
      <c r="C21" s="59"/>
      <c r="D21" s="59"/>
      <c r="E21" s="58">
        <f>AVERAGE(B10:B12)</f>
        <v>-3.0699552586861785</v>
      </c>
      <c r="G21" s="58">
        <f>AVERAGE(B5:B7)</f>
        <v>-18.996411503699608</v>
      </c>
      <c r="M21" s="60"/>
      <c r="N21" s="60"/>
      <c r="O21" s="60"/>
      <c r="P21" s="58">
        <f>AVERAGE(M10:M12)</f>
        <v>-2.0871594318491913</v>
      </c>
      <c r="R21" s="58">
        <f>AVERAGE(M5:M7)</f>
        <v>-17.981521721269768</v>
      </c>
      <c r="V21" s="60"/>
      <c r="W21" s="60"/>
      <c r="X21" s="60"/>
      <c r="Y21" s="58">
        <f>AVERAGE(V10:V12)</f>
        <v>-2.6246283181103522</v>
      </c>
      <c r="AA21" s="58">
        <f>AVERAGE(V5:V7)</f>
        <v>-19.459101786903464</v>
      </c>
      <c r="AE21" s="60"/>
      <c r="AF21" s="60"/>
      <c r="AG21" s="60"/>
      <c r="AH21" s="58">
        <f>AVERAGE(AE10:AE12)</f>
        <v>-4.5212210475176944</v>
      </c>
      <c r="AJ21" s="58">
        <f>AVERAGE(AE5:AE7)</f>
        <v>-18.907562131134029</v>
      </c>
      <c r="AN21" s="60"/>
      <c r="AO21" s="60"/>
      <c r="AP21" s="60"/>
      <c r="AQ21" s="58">
        <f>AVERAGE(AN9:AN11)</f>
        <v>-8.2301287602103042</v>
      </c>
      <c r="AS21" s="58">
        <f>AVERAGE(AN4:AN6)</f>
        <v>-22.808514605517104</v>
      </c>
    </row>
    <row r="22" spans="1:46" s="58" customFormat="1" x14ac:dyDescent="0.2">
      <c r="B22" s="59"/>
      <c r="C22" s="59"/>
      <c r="D22" s="59"/>
      <c r="E22" s="54">
        <f>SQRT((1/(1/D5^2+1/D6^2+1/D7^2)))</f>
        <v>0.22617295017600256</v>
      </c>
      <c r="F22"/>
      <c r="G22" s="54">
        <f>SQRT((1/(1/D11^2+1/D12^2+1/D13^2)))</f>
        <v>0.244568661748365</v>
      </c>
      <c r="H22"/>
      <c r="M22" s="60"/>
      <c r="N22" s="60"/>
      <c r="O22" s="60"/>
      <c r="P22" s="54">
        <f>SQRT((1/(1/O5^2+1/O6^2+1/O7^2)))</f>
        <v>0.49355933190922158</v>
      </c>
      <c r="Q22"/>
      <c r="R22" s="54">
        <f>SQRT((1/(1/O11^2+1/O12^2+1/O13^2)))</f>
        <v>0.5059612968004612</v>
      </c>
      <c r="S22"/>
      <c r="V22" s="60"/>
      <c r="W22" s="60"/>
      <c r="X22" s="60"/>
      <c r="Y22" s="54">
        <f>SQRT((1/(1/X5^2+1/X6^2+1/X7^2)))</f>
        <v>0.3044688717810885</v>
      </c>
      <c r="Z22"/>
      <c r="AA22" s="54">
        <f>SQRT((1/(1/X11^2+1/X12^2+1/X13^2)))</f>
        <v>0.36455264463860593</v>
      </c>
      <c r="AB22"/>
      <c r="AE22" s="60"/>
      <c r="AF22" s="60"/>
      <c r="AG22" s="60"/>
      <c r="AH22" s="54">
        <f>SQRT((1/(1/AG5^2+1/AG6^2+1/AG7^2)))</f>
        <v>0.42731761219169545</v>
      </c>
      <c r="AI22"/>
      <c r="AJ22" s="54">
        <f>SQRT((1/(1/AG11^2+1/AG12^2+1/AG13^2)))</f>
        <v>0.43487582873251895</v>
      </c>
      <c r="AK22"/>
      <c r="AN22" s="60"/>
      <c r="AO22" s="60"/>
      <c r="AP22" s="60"/>
      <c r="AQ22" s="54">
        <f>SQRT((1/(1/AP5^2+1/AP6^2+1/AP4^2)))</f>
        <v>0.42108797880645049</v>
      </c>
      <c r="AR22"/>
      <c r="AS22" s="54">
        <f>SQRT((1/(1/AP11^2+1/AP12^2+1/AP10^2)))</f>
        <v>0.41277391403003461</v>
      </c>
      <c r="AT22"/>
    </row>
    <row r="23" spans="1:46" s="58" customFormat="1" x14ac:dyDescent="0.2">
      <c r="B23" s="59"/>
      <c r="C23" s="59"/>
      <c r="D23" s="59"/>
      <c r="E23" s="58">
        <f>E21-E22</f>
        <v>-3.2961282088621808</v>
      </c>
      <c r="F23" s="58">
        <f>E21+E22</f>
        <v>-2.8437823085101761</v>
      </c>
      <c r="G23" s="58">
        <f>G21-G22</f>
        <v>-19.240980165447972</v>
      </c>
      <c r="H23" s="58">
        <f>G21+G22</f>
        <v>-18.751842841951245</v>
      </c>
      <c r="M23" s="60"/>
      <c r="N23" s="60"/>
      <c r="O23" s="60"/>
      <c r="P23" s="58">
        <f>P21-P22</f>
        <v>-2.580718763758413</v>
      </c>
      <c r="Q23" s="58">
        <f>P21+P22</f>
        <v>-1.5936000999399698</v>
      </c>
      <c r="R23" s="58">
        <f>R21-R22</f>
        <v>-18.487483018070229</v>
      </c>
      <c r="S23" s="58">
        <f>R21+R22</f>
        <v>-17.475560424469307</v>
      </c>
      <c r="V23" s="60"/>
      <c r="W23" s="60"/>
      <c r="X23" s="60"/>
      <c r="Y23" s="58">
        <f>Y21-Y22</f>
        <v>-2.9290971898914409</v>
      </c>
      <c r="Z23" s="58">
        <f>Y21+Y22</f>
        <v>-2.3201594463292636</v>
      </c>
      <c r="AA23" s="58">
        <f>AA21-AA22</f>
        <v>-19.823654431542071</v>
      </c>
      <c r="AB23" s="58">
        <f>AA21+AA22</f>
        <v>-19.094549142264857</v>
      </c>
      <c r="AE23" s="60"/>
      <c r="AF23" s="60"/>
      <c r="AG23" s="60"/>
      <c r="AH23" s="58">
        <f>AH21-AH22</f>
        <v>-4.9485386597093894</v>
      </c>
      <c r="AI23" s="58">
        <f>AH21+AH22</f>
        <v>-4.0939034353259993</v>
      </c>
      <c r="AJ23" s="58">
        <f>AJ21-AJ22</f>
        <v>-19.342437959866547</v>
      </c>
      <c r="AK23" s="58">
        <f>AJ21+AJ22</f>
        <v>-18.47268630240151</v>
      </c>
      <c r="AN23" s="60"/>
      <c r="AO23" s="60"/>
      <c r="AP23" s="60"/>
      <c r="AQ23" s="58">
        <f>AQ21-AQ22</f>
        <v>-8.6512167390167551</v>
      </c>
      <c r="AR23" s="58">
        <f>AQ21+AQ22</f>
        <v>-7.809040781403854</v>
      </c>
      <c r="AS23" s="58">
        <f>AS21-AS22</f>
        <v>-23.221288519547137</v>
      </c>
      <c r="AT23" s="58">
        <f>AS21+AS22</f>
        <v>-22.39574069148707</v>
      </c>
    </row>
    <row r="24" spans="1:46" s="58" customFormat="1" x14ac:dyDescent="0.2">
      <c r="B24" s="59"/>
      <c r="C24" s="59"/>
      <c r="D24" s="59"/>
      <c r="M24" s="60"/>
      <c r="N24" s="60"/>
      <c r="O24" s="60"/>
      <c r="V24" s="60"/>
      <c r="W24" s="60"/>
      <c r="X24" s="60"/>
      <c r="AE24" s="60"/>
      <c r="AF24" s="60"/>
      <c r="AG24" s="60"/>
      <c r="AN24" s="60"/>
      <c r="AO24" s="60"/>
      <c r="AP24" s="60"/>
    </row>
    <row r="25" spans="1:46" s="58" customFormat="1" x14ac:dyDescent="0.2">
      <c r="A25" s="61" t="s">
        <v>8</v>
      </c>
      <c r="C25" s="62"/>
      <c r="D25" s="62"/>
      <c r="M25" s="63" t="s">
        <v>8</v>
      </c>
    </row>
    <row r="26" spans="1:46" x14ac:dyDescent="0.2">
      <c r="A26" t="s">
        <v>54</v>
      </c>
      <c r="B26" s="26">
        <f>B5-B4</f>
        <v>0.18427008921295496</v>
      </c>
      <c r="C26" s="26" t="s">
        <v>2</v>
      </c>
      <c r="D26" s="26">
        <f t="shared" ref="D26:D35" si="0">SQRT(1/(1/D4^2+1/D5^2))</f>
        <v>0.29703609389784752</v>
      </c>
      <c r="M26" s="1">
        <f>M5-M4</f>
        <v>-0.68776386109514576</v>
      </c>
      <c r="N26" s="1" t="s">
        <v>2</v>
      </c>
      <c r="O26" s="1">
        <f t="shared" ref="O26:O35" si="1">SQRT(1/(1/O4^2+1/O5^2))</f>
        <v>0.60059925785137902</v>
      </c>
      <c r="V26" s="1">
        <f t="shared" ref="V26:V35" si="2">V5-V4</f>
        <v>0.35262698912552892</v>
      </c>
      <c r="W26" s="1" t="s">
        <v>2</v>
      </c>
      <c r="X26" s="1">
        <f t="shared" ref="X26:X35" si="3">SQRT(1/(1/X4^2+1/X5^2))</f>
        <v>0.43016762786011903</v>
      </c>
      <c r="AE26" s="1">
        <f t="shared" ref="AE26:AE35" si="4">AE5-AE4</f>
        <v>0.498504876745411</v>
      </c>
      <c r="AF26" s="1" t="s">
        <v>2</v>
      </c>
      <c r="AG26" s="1">
        <f t="shared" ref="AG26:AG35" si="5">SQRT(1/(1/AG4^2+1/AG5^2))</f>
        <v>0.54531771209999391</v>
      </c>
      <c r="AN26" s="1">
        <f t="shared" ref="AN26:AN35" si="6">AN5-AN4</f>
        <v>0.46587095583517169</v>
      </c>
      <c r="AO26" s="1" t="s">
        <v>2</v>
      </c>
      <c r="AP26" s="1">
        <f t="shared" ref="AP26:AP35" si="7">SQRT(1/(1/AP4^2+1/AP5^2))</f>
        <v>0.52555684709062578</v>
      </c>
    </row>
    <row r="27" spans="1:46" s="58" customFormat="1" x14ac:dyDescent="0.2">
      <c r="A27" s="58" t="s">
        <v>55</v>
      </c>
      <c r="B27" s="59">
        <f t="shared" ref="B27:B35" si="8">B6-B5</f>
        <v>-0.31761128633411673</v>
      </c>
      <c r="C27" s="59" t="s">
        <v>2</v>
      </c>
      <c r="D27" s="59">
        <f t="shared" si="0"/>
        <v>0.27786026159955723</v>
      </c>
      <c r="M27" s="60">
        <f t="shared" ref="M27:M35" si="9">M6-M5</f>
        <v>-9.4434405150892076E-2</v>
      </c>
      <c r="N27" s="60" t="s">
        <v>2</v>
      </c>
      <c r="O27" s="60">
        <f t="shared" si="1"/>
        <v>0.57120255570535527</v>
      </c>
      <c r="V27" s="60">
        <f t="shared" si="2"/>
        <v>-0.68942761575452494</v>
      </c>
      <c r="W27" s="60" t="s">
        <v>2</v>
      </c>
      <c r="X27" s="60">
        <f t="shared" si="3"/>
        <v>0.38436791531900627</v>
      </c>
      <c r="AE27" s="60">
        <f t="shared" si="4"/>
        <v>0.17746432474852369</v>
      </c>
      <c r="AF27" s="60" t="s">
        <v>2</v>
      </c>
      <c r="AG27" s="60">
        <f t="shared" si="5"/>
        <v>0.51767753534111416</v>
      </c>
      <c r="AN27" s="60">
        <f t="shared" si="6"/>
        <v>-0.98707483602367319</v>
      </c>
      <c r="AO27" s="60" t="s">
        <v>2</v>
      </c>
      <c r="AP27" s="60">
        <f t="shared" si="7"/>
        <v>0.51088783466522492</v>
      </c>
    </row>
    <row r="28" spans="1:46" x14ac:dyDescent="0.2">
      <c r="A28" t="s">
        <v>56</v>
      </c>
      <c r="B28" s="26">
        <f t="shared" si="8"/>
        <v>-0.96641425917676216</v>
      </c>
      <c r="C28" s="26" t="s">
        <v>2</v>
      </c>
      <c r="D28" s="26">
        <f t="shared" si="0"/>
        <v>0.26737203728170156</v>
      </c>
      <c r="M28" s="1">
        <f t="shared" si="9"/>
        <v>-0.45764851187135491</v>
      </c>
      <c r="N28" s="1" t="s">
        <v>2</v>
      </c>
      <c r="O28" s="1">
        <f t="shared" si="1"/>
        <v>0.61458978839224598</v>
      </c>
      <c r="V28" s="1">
        <f t="shared" si="2"/>
        <v>-0.68444231055619653</v>
      </c>
      <c r="W28" s="1" t="s">
        <v>2</v>
      </c>
      <c r="X28" s="1">
        <f t="shared" si="3"/>
        <v>0.35661515867917404</v>
      </c>
      <c r="AE28" s="1">
        <f t="shared" si="4"/>
        <v>-1.3135995037536752</v>
      </c>
      <c r="AF28" s="1" t="s">
        <v>2</v>
      </c>
      <c r="AG28" s="1">
        <f t="shared" si="5"/>
        <v>0.49430810004719966</v>
      </c>
      <c r="AN28" s="1">
        <f t="shared" si="6"/>
        <v>2.1531741205262911</v>
      </c>
      <c r="AO28" s="1" t="s">
        <v>2</v>
      </c>
      <c r="AP28" s="1">
        <f t="shared" si="7"/>
        <v>0.49850074538572198</v>
      </c>
    </row>
    <row r="29" spans="1:46" x14ac:dyDescent="0.2">
      <c r="A29" t="s">
        <v>57</v>
      </c>
      <c r="B29" s="26">
        <f t="shared" si="8"/>
        <v>5.1013372627077835</v>
      </c>
      <c r="C29" s="26" t="s">
        <v>2</v>
      </c>
      <c r="D29" s="26">
        <f t="shared" si="0"/>
        <v>0.26347858987065365</v>
      </c>
      <c r="M29" s="1">
        <f t="shared" si="9"/>
        <v>5.7957312030926253</v>
      </c>
      <c r="N29" s="1" t="s">
        <v>2</v>
      </c>
      <c r="O29" s="1">
        <f t="shared" si="1"/>
        <v>0.60350174359457753</v>
      </c>
      <c r="V29" s="1">
        <f t="shared" si="2"/>
        <v>5.22006263216268</v>
      </c>
      <c r="W29" s="1" t="s">
        <v>2</v>
      </c>
      <c r="X29" s="1">
        <f t="shared" si="3"/>
        <v>0.34452351239248558</v>
      </c>
      <c r="AE29" s="1">
        <f t="shared" si="4"/>
        <v>3.8927928227707991</v>
      </c>
      <c r="AF29" s="1" t="s">
        <v>2</v>
      </c>
      <c r="AG29" s="1">
        <f t="shared" si="5"/>
        <v>0.51093899557718159</v>
      </c>
      <c r="AN29" s="1">
        <f t="shared" si="6"/>
        <v>8.1241816874070274</v>
      </c>
      <c r="AO29" s="1" t="s">
        <v>2</v>
      </c>
      <c r="AP29" s="1">
        <f t="shared" si="7"/>
        <v>0.48902765996916264</v>
      </c>
    </row>
    <row r="30" spans="1:46" x14ac:dyDescent="0.2">
      <c r="A30" t="s">
        <v>58</v>
      </c>
      <c r="B30" s="26">
        <f t="shared" si="8"/>
        <v>10.372448363198727</v>
      </c>
      <c r="C30" s="26" t="s">
        <v>2</v>
      </c>
      <c r="D30" s="26">
        <f t="shared" si="0"/>
        <v>0.2531181647617568</v>
      </c>
      <c r="M30" s="1">
        <f t="shared" si="9"/>
        <v>10.547985606155219</v>
      </c>
      <c r="N30" s="1" t="s">
        <v>2</v>
      </c>
      <c r="O30" s="1">
        <f t="shared" si="1"/>
        <v>0.55294324015456897</v>
      </c>
      <c r="V30" s="1">
        <f t="shared" si="2"/>
        <v>11.007079273089525</v>
      </c>
      <c r="W30" s="1" t="s">
        <v>2</v>
      </c>
      <c r="X30" s="1">
        <f t="shared" si="3"/>
        <v>0.33107996344267648</v>
      </c>
      <c r="AE30" s="1">
        <f t="shared" si="4"/>
        <v>8.9199189821040914</v>
      </c>
      <c r="AF30" s="1" t="s">
        <v>2</v>
      </c>
      <c r="AG30" s="1">
        <f t="shared" si="5"/>
        <v>0.49929715866517416</v>
      </c>
      <c r="AN30" s="1">
        <f t="shared" si="6"/>
        <v>4.8506219262617343</v>
      </c>
      <c r="AO30" s="1" t="s">
        <v>2</v>
      </c>
      <c r="AP30" s="1">
        <f t="shared" si="7"/>
        <v>0.47696217911759653</v>
      </c>
    </row>
    <row r="31" spans="1:46" x14ac:dyDescent="0.2">
      <c r="A31" t="s">
        <v>59</v>
      </c>
      <c r="B31" s="26">
        <f t="shared" si="8"/>
        <v>2.2599856781400085</v>
      </c>
      <c r="C31" s="26" t="s">
        <v>2</v>
      </c>
      <c r="D31" s="26">
        <f t="shared" si="0"/>
        <v>0.25641129222362807</v>
      </c>
      <c r="M31" s="1">
        <f t="shared" si="9"/>
        <v>0.57773729591670264</v>
      </c>
      <c r="N31" s="1" t="s">
        <v>2</v>
      </c>
      <c r="O31" s="1">
        <f t="shared" si="1"/>
        <v>0.59990945058137268</v>
      </c>
      <c r="V31" s="1">
        <f t="shared" si="2"/>
        <v>2.2684292178297705</v>
      </c>
      <c r="W31" s="1" t="s">
        <v>2</v>
      </c>
      <c r="X31" s="1">
        <f t="shared" si="3"/>
        <v>0.3322816601528964</v>
      </c>
      <c r="AE31" s="1">
        <f t="shared" si="4"/>
        <v>3.8192352982422406</v>
      </c>
      <c r="AF31" s="1" t="s">
        <v>2</v>
      </c>
      <c r="AG31" s="1">
        <f t="shared" si="5"/>
        <v>0.50005312803277147</v>
      </c>
      <c r="AN31" s="1">
        <f t="shared" si="6"/>
        <v>0.8360707662536937</v>
      </c>
      <c r="AO31" s="1" t="s">
        <v>2</v>
      </c>
      <c r="AP31" s="1">
        <f t="shared" si="7"/>
        <v>0.48826119696525155</v>
      </c>
    </row>
    <row r="32" spans="1:46" x14ac:dyDescent="0.2">
      <c r="A32" t="s">
        <v>60</v>
      </c>
      <c r="B32" s="26">
        <f t="shared" si="8"/>
        <v>-0.54805298276994208</v>
      </c>
      <c r="C32" s="26" t="s">
        <v>2</v>
      </c>
      <c r="D32" s="26">
        <f t="shared" si="0"/>
        <v>0.26989842257893898</v>
      </c>
      <c r="M32" s="1">
        <f t="shared" si="9"/>
        <v>-0.74513208510995632</v>
      </c>
      <c r="N32" s="1" t="s">
        <v>2</v>
      </c>
      <c r="O32" s="1">
        <f t="shared" si="1"/>
        <v>0.63387130803102609</v>
      </c>
      <c r="V32" s="1">
        <f t="shared" si="2"/>
        <v>1.3715563494498539E-2</v>
      </c>
      <c r="W32" s="1" t="s">
        <v>2</v>
      </c>
      <c r="X32" s="1">
        <f t="shared" si="3"/>
        <v>0.36549176028940711</v>
      </c>
      <c r="AE32" s="1">
        <f t="shared" si="4"/>
        <v>-1.2747588365746854</v>
      </c>
      <c r="AF32" s="1" t="s">
        <v>2</v>
      </c>
      <c r="AG32" s="1">
        <f t="shared" si="5"/>
        <v>0.50187617564213394</v>
      </c>
      <c r="AN32" s="1">
        <f t="shared" si="6"/>
        <v>-1.812638482959982</v>
      </c>
      <c r="AO32" s="1" t="s">
        <v>2</v>
      </c>
      <c r="AP32" s="1">
        <f t="shared" si="7"/>
        <v>0.49770351560801029</v>
      </c>
    </row>
    <row r="33" spans="1:42" x14ac:dyDescent="0.2">
      <c r="A33" t="s">
        <v>61</v>
      </c>
      <c r="B33" s="26">
        <f t="shared" si="8"/>
        <v>-2.0753994068717363</v>
      </c>
      <c r="C33" s="26" t="s">
        <v>2</v>
      </c>
      <c r="D33" s="26">
        <f t="shared" si="0"/>
        <v>0.2928866303619006</v>
      </c>
      <c r="M33" s="1">
        <f t="shared" si="9"/>
        <v>-0.58127984811839895</v>
      </c>
      <c r="N33" s="1" t="s">
        <v>2</v>
      </c>
      <c r="O33" s="1">
        <f t="shared" si="1"/>
        <v>0.6204793284571678</v>
      </c>
      <c r="V33" s="1">
        <f t="shared" si="2"/>
        <v>-2.9524118529886678</v>
      </c>
      <c r="W33" s="1" t="s">
        <v>2</v>
      </c>
      <c r="X33" s="1">
        <f t="shared" si="3"/>
        <v>0.4311432828293284</v>
      </c>
      <c r="AE33" s="1">
        <f t="shared" si="4"/>
        <v>-1.7375657025942015</v>
      </c>
      <c r="AF33" s="1" t="s">
        <v>2</v>
      </c>
      <c r="AG33" s="1">
        <f t="shared" si="5"/>
        <v>0.5212666469376489</v>
      </c>
      <c r="AN33" s="1">
        <f t="shared" si="6"/>
        <v>-0.90293797288676458</v>
      </c>
      <c r="AO33" s="1" t="s">
        <v>2</v>
      </c>
      <c r="AP33" s="1">
        <f t="shared" si="7"/>
        <v>0.50678641247690814</v>
      </c>
    </row>
    <row r="34" spans="1:42" x14ac:dyDescent="0.2">
      <c r="A34" t="s">
        <v>62</v>
      </c>
      <c r="B34" s="26">
        <f t="shared" si="8"/>
        <v>-0.74447288776591236</v>
      </c>
      <c r="C34" s="26" t="s">
        <v>2</v>
      </c>
      <c r="D34" s="26">
        <f t="shared" si="0"/>
        <v>0.31007354994990671</v>
      </c>
      <c r="M34" s="1">
        <f t="shared" si="9"/>
        <v>-1.3922327205654339</v>
      </c>
      <c r="N34" s="1" t="s">
        <v>2</v>
      </c>
      <c r="O34" s="1">
        <f t="shared" si="1"/>
        <v>0.61652481051273167</v>
      </c>
      <c r="V34" s="1">
        <f t="shared" si="2"/>
        <v>-0.94302409220481387</v>
      </c>
      <c r="W34" s="1" t="s">
        <v>2</v>
      </c>
      <c r="X34" s="1">
        <f t="shared" si="3"/>
        <v>0.47787441845186313</v>
      </c>
      <c r="AE34" s="1">
        <f t="shared" si="4"/>
        <v>-0.10150020598764797</v>
      </c>
      <c r="AF34" s="1" t="s">
        <v>2</v>
      </c>
      <c r="AG34" s="1">
        <f t="shared" si="5"/>
        <v>0.54304041719580465</v>
      </c>
      <c r="AN34" s="1">
        <f t="shared" si="6"/>
        <v>-0.59432582305873893</v>
      </c>
      <c r="AO34" s="1" t="s">
        <v>2</v>
      </c>
      <c r="AP34" s="1">
        <f t="shared" si="7"/>
        <v>0.52419944195867463</v>
      </c>
    </row>
    <row r="35" spans="1:42" x14ac:dyDescent="0.2">
      <c r="A35" t="s">
        <v>63</v>
      </c>
      <c r="B35" s="26">
        <f t="shared" si="8"/>
        <v>-0.62740618716894403</v>
      </c>
      <c r="C35" s="26" t="s">
        <v>2</v>
      </c>
      <c r="D35" s="26">
        <f t="shared" si="0"/>
        <v>0.31163627783410131</v>
      </c>
      <c r="M35" s="1">
        <f t="shared" si="9"/>
        <v>-0.89500257429764307</v>
      </c>
      <c r="N35" s="1" t="s">
        <v>2</v>
      </c>
      <c r="O35" s="1">
        <f t="shared" si="1"/>
        <v>0.61476875090495309</v>
      </c>
      <c r="V35" s="1">
        <f t="shared" si="2"/>
        <v>-0.81194520612803966</v>
      </c>
      <c r="W35" s="1" t="s">
        <v>2</v>
      </c>
      <c r="X35" s="1">
        <f t="shared" si="3"/>
        <v>0.48231837303492725</v>
      </c>
      <c r="AE35" s="1">
        <f t="shared" si="4"/>
        <v>-0.1509318455784614</v>
      </c>
      <c r="AF35" s="1" t="s">
        <v>2</v>
      </c>
      <c r="AG35" s="1">
        <f t="shared" si="5"/>
        <v>0.5461730062522997</v>
      </c>
      <c r="AN35" s="1">
        <f t="shared" si="6"/>
        <v>-0.88500125833634868</v>
      </c>
      <c r="AO35" s="1" t="s">
        <v>2</v>
      </c>
      <c r="AP35" s="1">
        <f t="shared" si="7"/>
        <v>0.52482215672764021</v>
      </c>
    </row>
    <row r="41" spans="1:42" x14ac:dyDescent="0.2">
      <c r="A41" t="s">
        <v>110</v>
      </c>
      <c r="B41" s="20">
        <f>B16-AN16</f>
        <v>4.0379346568056871</v>
      </c>
      <c r="C41" s="20">
        <f>SQRT(D16^2+AP16^2)</f>
        <v>0.2462743065693308</v>
      </c>
    </row>
  </sheetData>
  <mergeCells count="5">
    <mergeCell ref="M3:O3"/>
    <mergeCell ref="V3:X3"/>
    <mergeCell ref="AE3:AG3"/>
    <mergeCell ref="AN3:AP3"/>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Samples_DONE</vt:lpstr>
      <vt:lpstr>zones</vt:lpstr>
      <vt:lpstr>D14C individuals</vt:lpstr>
      <vt:lpstr>Table (774 only)</vt:lpstr>
      <vt:lpstr>Fitting parameters</vt:lpstr>
      <vt:lpstr>D14C zones (774 only)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2018-02-02T13:21:44Z</cp:lastPrinted>
  <dcterms:created xsi:type="dcterms:W3CDTF">2017-11-28T17:06:06Z</dcterms:created>
  <dcterms:modified xsi:type="dcterms:W3CDTF">2018-09-17T08:36:24Z</dcterms:modified>
</cp:coreProperties>
</file>